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2120" windowHeight="7176" tabRatio="816" activeTab="0"/>
  </bookViews>
  <sheets>
    <sheet name="Sheet Explanation" sheetId="1" r:id="rId1"/>
    <sheet name="Reporting sheet" sheetId="2" r:id="rId2"/>
    <sheet name="Summary" sheetId="3" r:id="rId3"/>
    <sheet name="Rate of Return" sheetId="4" r:id="rId4"/>
    <sheet name="CAPEX" sheetId="5" r:id="rId5"/>
    <sheet name="Capacity" sheetId="6" r:id="rId6"/>
    <sheet name="Throughput" sheetId="7" r:id="rId7"/>
    <sheet name="OPEX" sheetId="8" r:id="rId8"/>
    <sheet name="Incentive Mechanism" sheetId="9" r:id="rId9"/>
  </sheets>
  <definedNames>
    <definedName name="_Ref257369309" localSheetId="1">'Reporting sheet'!$B$26</definedName>
    <definedName name="_Ref257369332" localSheetId="1">'Reporting sheet'!$B$10</definedName>
    <definedName name="_Ref257369372" localSheetId="1">'Reporting sheet'!$B$5</definedName>
    <definedName name="_Ref257369438" localSheetId="1">'Reporting sheet'!$B$37</definedName>
    <definedName name="_Ref257369441" localSheetId="1">'Reporting sheet'!$B$43</definedName>
    <definedName name="_Ref257369448" localSheetId="1">'Reporting sheet'!$B$49</definedName>
    <definedName name="_Ref257369682" localSheetId="1">'Reporting sheet'!$B$55</definedName>
    <definedName name="_Ref257370011" localSheetId="1">'Reporting sheet'!$B$70</definedName>
    <definedName name="_Ref257370028" localSheetId="1">'Reporting sheet'!$B$80</definedName>
    <definedName name="_Ref257370066" localSheetId="1">'Reporting sheet'!$B$57</definedName>
    <definedName name="_Ref257370104" localSheetId="1">'Reporting sheet'!$B$86</definedName>
    <definedName name="_Ref257378153" localSheetId="1">'Reporting sheet'!$B$129</definedName>
    <definedName name="_Ref257381577" localSheetId="1">'Reporting sheet'!$B$138</definedName>
    <definedName name="_Ref257382258" localSheetId="1">'Reporting sheet'!$B$155</definedName>
    <definedName name="_Ref257391177" localSheetId="1">'Reporting sheet'!$B$167</definedName>
    <definedName name="_Ref257392975" localSheetId="1">'Reporting sheet'!$B$259</definedName>
    <definedName name="anscount" hidden="1">4</definedName>
    <definedName name="CapPercent">'Summary'!$L$29</definedName>
    <definedName name="CapTariff">'Summary'!$D$29</definedName>
    <definedName name="CompareYear">'Summary'!$E$6</definedName>
    <definedName name="CPIindex">'CAPEX'!$F$4:$V$4</definedName>
    <definedName name="CPIindexYRs">'CAPEX'!$F$2:$V$2</definedName>
    <definedName name="DebtBeta">'Summary'!#REF!</definedName>
    <definedName name="EBSolve">'Summary'!#REF!</definedName>
    <definedName name="EquityBeta">'Summary'!#REF!</definedName>
    <definedName name="GoalSeekCapTariff">'Summary'!$E$29</definedName>
    <definedName name="GoalSeekThroughTariff">'Summary'!$E$30</definedName>
    <definedName name="limcount" hidden="1">2</definedName>
    <definedName name="_xlnm.Print_Area" localSheetId="5">'Capacity'!$A$1:$J$28</definedName>
    <definedName name="_xlnm.Print_Area" localSheetId="4">'CAPEX'!$A$1:$W$118</definedName>
    <definedName name="_xlnm.Print_Area" localSheetId="7">'OPEX'!$A$1:$I$22</definedName>
    <definedName name="_xlnm.Print_Area" localSheetId="3">'Rate of Return'!$A$1:$I$18</definedName>
    <definedName name="_xlnm.Print_Area" localSheetId="1">'Reporting sheet'!$A$1:$L$270</definedName>
    <definedName name="_xlnm.Print_Area" localSheetId="0">'Sheet Explanation'!$A$1:$C$44</definedName>
    <definedName name="_xlnm.Print_Area" localSheetId="2">'Summary'!$A$1:$Q$49</definedName>
    <definedName name="_xlnm.Print_Area" localSheetId="6">'Throughput'!$A$1:$J$28</definedName>
    <definedName name="sencount" hidden="1">2</definedName>
    <definedName name="sumTariff">'Summary'!$E$31</definedName>
    <definedName name="ThroughPercent">'Summary'!$L$30</definedName>
    <definedName name="ThroughTariff">'Summary'!$D$30</definedName>
    <definedName name="TotalKM">'Capacity'!$C$4</definedName>
    <definedName name="WACC">'CAPEX'!$C$4</definedName>
    <definedName name="Xfactor">'Summary'!#REF!</definedName>
    <definedName name="xTariff">'Summary'!#REF!</definedName>
    <definedName name="YearList">'Summary'!#REF!</definedName>
  </definedNames>
  <calcPr fullCalcOnLoad="1" iterate="1" iterateCount="1000" iterateDelta="1E-06"/>
</workbook>
</file>

<file path=xl/sharedStrings.xml><?xml version="1.0" encoding="utf-8"?>
<sst xmlns="http://schemas.openxmlformats.org/spreadsheetml/2006/main" count="471" uniqueCount="255">
  <si>
    <t>Full Haul</t>
  </si>
  <si>
    <t>Part Haul - CS7</t>
  </si>
  <si>
    <t>Total Mid-West</t>
  </si>
  <si>
    <t>Part Haul - CS3</t>
  </si>
  <si>
    <t>Total Short Haul</t>
  </si>
  <si>
    <t>Part Haul - Pilbara</t>
  </si>
  <si>
    <t>Total Pilbara</t>
  </si>
  <si>
    <t>Back Haul</t>
  </si>
  <si>
    <t>Total Back Haul</t>
  </si>
  <si>
    <t>CPI</t>
  </si>
  <si>
    <t>WACC</t>
  </si>
  <si>
    <t>Pipelines</t>
  </si>
  <si>
    <t>Compression</t>
  </si>
  <si>
    <t>Metering</t>
  </si>
  <si>
    <t>Other</t>
  </si>
  <si>
    <t>Total</t>
  </si>
  <si>
    <t>Compressors</t>
  </si>
  <si>
    <t>Meters</t>
  </si>
  <si>
    <t>Other depreciable</t>
  </si>
  <si>
    <t>Non depreciable</t>
  </si>
  <si>
    <t xml:space="preserve">Total </t>
  </si>
  <si>
    <t>Dep'n Years</t>
  </si>
  <si>
    <t>N/A</t>
  </si>
  <si>
    <t>Year $'s (December)</t>
  </si>
  <si>
    <t>Compare in Year $'s</t>
  </si>
  <si>
    <t>Factor</t>
  </si>
  <si>
    <t>New Assets</t>
  </si>
  <si>
    <t>Initial Assets</t>
  </si>
  <si>
    <t>Present values</t>
  </si>
  <si>
    <t>Total revenue requirement</t>
  </si>
  <si>
    <t>Days</t>
  </si>
  <si>
    <t>Capacity</t>
  </si>
  <si>
    <t>Throughput</t>
  </si>
  <si>
    <t>Total Capacity Revenue</t>
  </si>
  <si>
    <t>check</t>
  </si>
  <si>
    <t>Actual/Forecast CAPEX</t>
  </si>
  <si>
    <t>Actual/Forecast CAPEX - In nominal $s</t>
  </si>
  <si>
    <t>GOAL SEEK to 0</t>
  </si>
  <si>
    <t>Total kms</t>
  </si>
  <si>
    <t>$ Year</t>
  </si>
  <si>
    <t>Contains:</t>
  </si>
  <si>
    <t>- A breakdown of the total revenue recoverable</t>
  </si>
  <si>
    <t>- Both the capacity and throughput tariffs</t>
  </si>
  <si>
    <t>- A macro button to solve for the two tariffs</t>
  </si>
  <si>
    <t>CAPEX sheet</t>
  </si>
  <si>
    <t>- Both historical and forecasted CAPEX spend</t>
  </si>
  <si>
    <t>OPEX sheet</t>
  </si>
  <si>
    <t>Capacity sheet</t>
  </si>
  <si>
    <t>- The inputs for distance (in kms)</t>
  </si>
  <si>
    <t>Throughput sheet</t>
  </si>
  <si>
    <t>- The inputs for shipper throughput inputs for the years 2011 to 2015</t>
  </si>
  <si>
    <t>- The calculation for the throughput revenue, using the throughput tariff (note this is calculated using the macro button)</t>
  </si>
  <si>
    <t>Operating Expenditure (In Nominal $'s)</t>
  </si>
  <si>
    <t>Actual/Forecast Shipper Funded CAPEX - In nominal $s</t>
  </si>
  <si>
    <t>Actual/Forecast Shipper CAPEX</t>
  </si>
  <si>
    <t>Capital Base less Shipper Capex</t>
  </si>
  <si>
    <t>Note Tariffs are in real terms (i.e. they need to uplifted for CPI)</t>
  </si>
  <si>
    <t>OPEX</t>
  </si>
  <si>
    <t>CAPEX</t>
  </si>
  <si>
    <t>Cumulative Total</t>
  </si>
  <si>
    <t xml:space="preserve">Year ending 31 December </t>
  </si>
  <si>
    <t xml:space="preserve">Nominal $million (dollar values at end of year) </t>
  </si>
  <si>
    <t xml:space="preserve">Pipeline </t>
  </si>
  <si>
    <t xml:space="preserve">Compression </t>
  </si>
  <si>
    <t xml:space="preserve">Metering </t>
  </si>
  <si>
    <t xml:space="preserve">Other </t>
  </si>
  <si>
    <t xml:space="preserve">Table 2: Capital Expenditure 2005 to 2010 </t>
  </si>
  <si>
    <t xml:space="preserve">Table 3: Operating Expenditure 2005 to 2010 </t>
  </si>
  <si>
    <t xml:space="preserve">Nominal $million, dollar values at end of year </t>
  </si>
  <si>
    <t xml:space="preserve">Real $million, dollar values at 31 December 2010 </t>
  </si>
  <si>
    <t>Capital Base at 1 January</t>
  </si>
  <si>
    <t>Plus</t>
  </si>
  <si>
    <t>Conforming Capital Expenditure</t>
  </si>
  <si>
    <t>Capital Contributions</t>
  </si>
  <si>
    <t>Less</t>
  </si>
  <si>
    <t>Depreciation</t>
  </si>
  <si>
    <t xml:space="preserve">Pipelines </t>
  </si>
  <si>
    <t xml:space="preserve">Nominal $million </t>
  </si>
  <si>
    <t xml:space="preserve">Other depreciable assets </t>
  </si>
  <si>
    <t xml:space="preserve">Non-depreciable assets </t>
  </si>
  <si>
    <t xml:space="preserve">Asset </t>
  </si>
  <si>
    <t xml:space="preserve">Asset Life (years) </t>
  </si>
  <si>
    <t xml:space="preserve">Pipeline assets </t>
  </si>
  <si>
    <t xml:space="preserve">Compression assets </t>
  </si>
  <si>
    <t xml:space="preserve">Metering assets </t>
  </si>
  <si>
    <t>Forecast Conforming Capital Expenditure</t>
  </si>
  <si>
    <t>Forecast Capital Contributions</t>
  </si>
  <si>
    <t>Forecast Depreciation</t>
  </si>
  <si>
    <t>Forecast Asset Disposals</t>
  </si>
  <si>
    <t xml:space="preserve">Total OPEX </t>
  </si>
  <si>
    <t>Table 7: Shipper number for each inlet and outlet point</t>
  </si>
  <si>
    <t xml:space="preserve">Total value of the Capital Base at 31 December </t>
  </si>
  <si>
    <t>Asset to which a capital contribution related</t>
  </si>
  <si>
    <t xml:space="preserve">Table 11 Opening Capital Base Depreciation Schedule 2005 to 2010 </t>
  </si>
  <si>
    <t xml:space="preserve"> </t>
  </si>
  <si>
    <t>TOTAL</t>
  </si>
  <si>
    <t>Depreciation based on forecast Capex as included in 2005 AA - In 2004 $s</t>
  </si>
  <si>
    <t>Rate of Return (Pre-tax real)</t>
  </si>
  <si>
    <t>Recurrent costs</t>
  </si>
  <si>
    <t>Dep'n Years as at 2004</t>
  </si>
  <si>
    <t>Wages &amp; Salaries</t>
  </si>
  <si>
    <t>Non-Field Expense</t>
  </si>
  <si>
    <t>Government Charges</t>
  </si>
  <si>
    <t>Field Expense</t>
  </si>
  <si>
    <t>Reactive Maintenance</t>
  </si>
  <si>
    <t>Less shipper Capex</t>
  </si>
  <si>
    <t>Parameter</t>
  </si>
  <si>
    <t>Cost of equity (nominal):</t>
  </si>
  <si>
    <t>CAPM</t>
  </si>
  <si>
    <t>Black’s CAPM</t>
  </si>
  <si>
    <t>Fama-French three factor model</t>
  </si>
  <si>
    <t>Zero beta Fama-French three factor model</t>
  </si>
  <si>
    <t>Cost of debt (nominal)</t>
  </si>
  <si>
    <t>Gearing (debt to total value)</t>
  </si>
  <si>
    <t>Tax rate</t>
  </si>
  <si>
    <t>Gamma</t>
  </si>
  <si>
    <t>Expected inflation</t>
  </si>
  <si>
    <t>Real pre-tax WACC</t>
  </si>
  <si>
    <t>Model used for estimating cost of equity:</t>
  </si>
  <si>
    <t xml:space="preserve">CAPM </t>
  </si>
  <si>
    <t>WACC commensurate with prevailing conditions in the market for funds and the risks involved in providing reference services</t>
  </si>
  <si>
    <t>Cost of equity</t>
  </si>
  <si>
    <t>Cost of debt</t>
  </si>
  <si>
    <t>Gearing:  equity to total value</t>
  </si>
  <si>
    <t>Gearing:  debt to total value</t>
  </si>
  <si>
    <t>Value of imputation credits (gamma)</t>
  </si>
  <si>
    <t>Nominal pre-tax WACC</t>
  </si>
  <si>
    <t>Value</t>
  </si>
  <si>
    <t>D/V</t>
  </si>
  <si>
    <t>t</t>
  </si>
  <si>
    <t>γ</t>
  </si>
  <si>
    <t>Estimate</t>
  </si>
  <si>
    <t>DBP - Rate of Return</t>
  </si>
  <si>
    <t>DBP - Summary and Tariff Calculation</t>
  </si>
  <si>
    <t>Table 1: Year on year percentage change in Consumer Price Index (all groups Perth) 2005 to 2010</t>
  </si>
  <si>
    <t>2005 - 2010</t>
  </si>
  <si>
    <t>Minimum quantity</t>
  </si>
  <si>
    <t>Maximum  quantity</t>
  </si>
  <si>
    <t>Average quantity</t>
  </si>
  <si>
    <t>Maximum quantity</t>
  </si>
  <si>
    <t>Table 5: Min, Max and Average demand over the Prior Access Arragnement Period (TJ/d) for Part Haul (forward haul) Pipeline Service inlet and outlet points</t>
  </si>
  <si>
    <t>Table 4: Min, Max and Average demand over the Prior Access Arrangement Period (TJ/d) for Full Haul Pipeline Service inlet and outlet points</t>
  </si>
  <si>
    <t>Table 6: Min, Max and Average demand over the Prior Access Arrangment Period (TJ/d) for Back Haul Pipeline Service inlet and outlet points</t>
  </si>
  <si>
    <t xml:space="preserve">Table 10 Capital Contributions </t>
  </si>
  <si>
    <t xml:space="preserve">Full Haul </t>
  </si>
  <si>
    <t xml:space="preserve">Maximum capacity (TJ/day) </t>
  </si>
  <si>
    <t xml:space="preserve">Contracted capacity (TJ/day) </t>
  </si>
  <si>
    <t xml:space="preserve">Throughput (TJ/day) </t>
  </si>
  <si>
    <t xml:space="preserve">Part Haul (forward haul) </t>
  </si>
  <si>
    <t xml:space="preserve">Back Haul </t>
  </si>
  <si>
    <t>Efficiency Gain/Loss Calculation</t>
  </si>
  <si>
    <t>Year</t>
  </si>
  <si>
    <t>Forecasted OPEX (in 2004 $s)</t>
  </si>
  <si>
    <t>Forecasted OPEX (in Nominal $s)</t>
  </si>
  <si>
    <t>Actual OPEX (in Nominal $s)</t>
  </si>
  <si>
    <t>Rt</t>
  </si>
  <si>
    <t>Dt</t>
  </si>
  <si>
    <t>Et</t>
  </si>
  <si>
    <t>S in nominal $</t>
  </si>
  <si>
    <t>E/V is the proportion of equity in the total financing (which comprises equity and debt)</t>
  </si>
  <si>
    <t>D/V is the proportion of debt in the total financing</t>
  </si>
  <si>
    <t>t is the tax rate</t>
  </si>
  <si>
    <t>γ (gamma) is the value of imputation credits</t>
  </si>
  <si>
    <t>Divide by 1 - t to convert to nominal pre-tax:</t>
  </si>
  <si>
    <t>Apply Fisher equation to obtain real pre-tax WACC:</t>
  </si>
  <si>
    <r>
      <t>WACC</t>
    </r>
    <r>
      <rPr>
        <vertAlign val="subscript"/>
        <sz val="12"/>
        <color indexed="8"/>
        <rFont val="Arial"/>
        <family val="2"/>
      </rPr>
      <t>nominal post-tax</t>
    </r>
    <r>
      <rPr>
        <sz val="12"/>
        <color indexed="8"/>
        <rFont val="Arial"/>
        <family val="2"/>
      </rPr>
      <t xml:space="preserve"> = E(r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) x ((1 - t)/(1 - t x (1 - γ)) x E/V + E(r</t>
    </r>
    <r>
      <rPr>
        <vertAlign val="subscript"/>
        <sz val="12"/>
        <color indexed="8"/>
        <rFont val="Arial"/>
        <family val="2"/>
      </rPr>
      <t>d</t>
    </r>
    <r>
      <rPr>
        <sz val="12"/>
        <color indexed="8"/>
        <rFont val="Arial"/>
        <family val="2"/>
      </rPr>
      <t>) x (1 - t) x D/V</t>
    </r>
  </si>
  <si>
    <r>
      <t>E(r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) is the nominal post-tax expected rate of return on equity - the cost of equity</t>
    </r>
  </si>
  <si>
    <r>
      <t>E(r</t>
    </r>
    <r>
      <rPr>
        <vertAlign val="subscript"/>
        <sz val="12"/>
        <color indexed="8"/>
        <rFont val="Arial"/>
        <family val="2"/>
      </rPr>
      <t>d</t>
    </r>
    <r>
      <rPr>
        <sz val="12"/>
        <color indexed="8"/>
        <rFont val="Arial"/>
        <family val="2"/>
      </rPr>
      <t>) is the nominal pre-tax expected rate of return on debt - the cost of debt</t>
    </r>
  </si>
  <si>
    <r>
      <t>WACC</t>
    </r>
    <r>
      <rPr>
        <vertAlign val="subscript"/>
        <sz val="12"/>
        <color indexed="8"/>
        <rFont val="Arial"/>
        <family val="2"/>
      </rPr>
      <t>nominal pre-tax</t>
    </r>
    <r>
      <rPr>
        <sz val="12"/>
        <color indexed="8"/>
        <rFont val="Arial"/>
        <family val="2"/>
      </rPr>
      <t xml:space="preserve"> = E(r</t>
    </r>
    <r>
      <rPr>
        <vertAlign val="sub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>) x (1/(1 - t x (1 - γ)) x E/V + E(r</t>
    </r>
    <r>
      <rPr>
        <vertAlign val="subscript"/>
        <sz val="12"/>
        <color indexed="8"/>
        <rFont val="Arial"/>
        <family val="2"/>
      </rPr>
      <t>d</t>
    </r>
    <r>
      <rPr>
        <sz val="12"/>
        <color indexed="8"/>
        <rFont val="Arial"/>
        <family val="2"/>
      </rPr>
      <t>) x D/V</t>
    </r>
  </si>
  <si>
    <r>
      <t>WACC</t>
    </r>
    <r>
      <rPr>
        <vertAlign val="subscript"/>
        <sz val="12"/>
        <color indexed="8"/>
        <rFont val="Arial"/>
        <family val="2"/>
      </rPr>
      <t>real pre-tax</t>
    </r>
    <r>
      <rPr>
        <sz val="12"/>
        <color indexed="8"/>
        <rFont val="Arial"/>
        <family val="2"/>
      </rPr>
      <t xml:space="preserve"> = (1 + WACC</t>
    </r>
    <r>
      <rPr>
        <vertAlign val="subscript"/>
        <sz val="12"/>
        <color indexed="8"/>
        <rFont val="Arial"/>
        <family val="2"/>
      </rPr>
      <t>nominal pre-tax</t>
    </r>
    <r>
      <rPr>
        <sz val="12"/>
        <color indexed="8"/>
        <rFont val="Arial"/>
        <family val="2"/>
      </rPr>
      <t>)/(1 + π</t>
    </r>
    <r>
      <rPr>
        <vertAlign val="super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 xml:space="preserve">) - 1 </t>
    </r>
  </si>
  <si>
    <r>
      <t>π</t>
    </r>
    <r>
      <rPr>
        <vertAlign val="superscript"/>
        <sz val="12"/>
        <color indexed="8"/>
        <rFont val="Arial"/>
        <family val="2"/>
      </rPr>
      <t>e</t>
    </r>
    <r>
      <rPr>
        <sz val="12"/>
        <color indexed="8"/>
        <rFont val="Arial"/>
        <family val="2"/>
      </rPr>
      <t xml:space="preserve"> is expected inflation</t>
    </r>
  </si>
  <si>
    <t>Incentive Mechanism</t>
  </si>
  <si>
    <t xml:space="preserve">Sub Total </t>
  </si>
  <si>
    <t>Capital Expenditure contributed by 
Shippers</t>
  </si>
  <si>
    <t>Return on Projected Capital Base</t>
  </si>
  <si>
    <t>Depreciation on the Projected Capital Base</t>
  </si>
  <si>
    <t>Forecast Operating Expenditure</t>
  </si>
  <si>
    <t>Other Components of Total Revenue</t>
  </si>
  <si>
    <t>Present Value of Costs Recovered (discounted at the rate of return)</t>
  </si>
  <si>
    <t>by R1 Capacity Reservation Tariff</t>
  </si>
  <si>
    <t>by R1 Commodity Tariff</t>
  </si>
  <si>
    <t>Present Value (discounted at the rate of return)</t>
  </si>
  <si>
    <t>Revenue - PV</t>
  </si>
  <si>
    <t>Tariff uplifted by a half year's inflation</t>
  </si>
  <si>
    <t>- The CPI inputs, both historical and forecast</t>
  </si>
  <si>
    <t>- The Rate of Return calculation</t>
  </si>
  <si>
    <t>- The Rate of Return inputs</t>
  </si>
  <si>
    <t>- The Operating Expenditure inputs broken down into categories</t>
  </si>
  <si>
    <t>- The Operating Expenditure converted into the appropriate $ terms</t>
  </si>
  <si>
    <t>Incentive Mechanism sheet</t>
  </si>
  <si>
    <t>- The Incentive Mechanism calculations</t>
  </si>
  <si>
    <t>Reporting sheet</t>
  </si>
  <si>
    <t>Rate of Return sheet</t>
  </si>
  <si>
    <t>Summary sheet</t>
  </si>
  <si>
    <t>Sheet Summary &amp; Explanation</t>
  </si>
  <si>
    <t>- A summary of the data and calculations</t>
  </si>
  <si>
    <t>- Both the 'Return on Asset' and 'Depreciation' revenue calculations</t>
  </si>
  <si>
    <t>- The inputs for shipper capacity inputs for the years 2011 to 2015</t>
  </si>
  <si>
    <t>- The Incentive Mechanism inputs (Historical forecasted OPEX, historical actual OPEX, etc)</t>
  </si>
  <si>
    <t>Forecast Dep'n from previous model</t>
  </si>
  <si>
    <t>- The depreciation calculations</t>
  </si>
  <si>
    <t>- The Capital Base calculation</t>
  </si>
  <si>
    <t>- The calculation for the capacity revenue, using the capacity tariff (note this is calculated using the macro button)</t>
  </si>
  <si>
    <t>Other Operating Expenditure</t>
  </si>
  <si>
    <t>Capital Base (as at 1 Jan)</t>
  </si>
  <si>
    <t>Projected Capital Base (as at 31 Dec)</t>
  </si>
  <si>
    <t>Full Haul - includes SPAC</t>
  </si>
  <si>
    <t>Assets disposed of during the period 2005 to 2010 - In nominal $s</t>
  </si>
  <si>
    <t>Table 12 Assets disposed of during the period 2005 to 2010</t>
  </si>
  <si>
    <t xml:space="preserve">Table 13 Forecast Conforming Capital Expenditure by asset class 2011 to 2015 </t>
  </si>
  <si>
    <t xml:space="preserve">Table 14 Asset Lives </t>
  </si>
  <si>
    <t xml:space="preserve">Table 15 Depreciation Schedule 2011 to 2015 </t>
  </si>
  <si>
    <t>Table 16: Projected Capital Base Calculation</t>
  </si>
  <si>
    <t>Table 17 Forecast of Maximum Full Haul Pipeline Capacity</t>
  </si>
  <si>
    <t xml:space="preserve">Table 18 Forecast of Demand for Services </t>
  </si>
  <si>
    <t xml:space="preserve">Table 19 Forecast Operating Expenditure 2011 to 2015 </t>
  </si>
  <si>
    <t>Table 8: Opening Capital Base (Real $million, dollar values at 31 December 2010)</t>
  </si>
  <si>
    <t xml:space="preserve">Table 9: Conforming Capital Expenditure 2005 to 2010 (Real $million, dollar values at 31 December 2010) </t>
  </si>
  <si>
    <t xml:space="preserve">(Real $million, dollar values at 31 December 2010) </t>
  </si>
  <si>
    <t>Real $million, dollar values at 31 December 2010</t>
  </si>
  <si>
    <t>Total Revenue in 2010 $'s</t>
  </si>
  <si>
    <t xml:space="preserve">Table 21 Estimates of Cost of Equity </t>
  </si>
  <si>
    <t>Table 22 Demonstration of calculation of rate of Return</t>
  </si>
  <si>
    <t>System Use Gas</t>
  </si>
  <si>
    <t>System Use Gas (full haul)</t>
  </si>
  <si>
    <t>System Use Gas (full haul) in 2010 $'s</t>
  </si>
  <si>
    <t>System Use Gas only</t>
  </si>
  <si>
    <t>System Use Gas/Total</t>
  </si>
  <si>
    <t>Total - System Use Gas</t>
  </si>
  <si>
    <t>Cost of equity (nominal):  CAPM</t>
  </si>
  <si>
    <t>Nominal risk free rate of return</t>
  </si>
  <si>
    <r>
      <t>r</t>
    </r>
    <r>
      <rPr>
        <vertAlign val="subscript"/>
        <sz val="10"/>
        <rFont val="Arial"/>
        <family val="2"/>
      </rPr>
      <t>rf</t>
    </r>
  </si>
  <si>
    <t>Equity beta</t>
  </si>
  <si>
    <t>b</t>
  </si>
  <si>
    <t>Market risk premium</t>
  </si>
  <si>
    <t>MRP</t>
  </si>
  <si>
    <t xml:space="preserve">Cost of equity (nominal):  CAPM </t>
  </si>
  <si>
    <r>
      <t>E</t>
    </r>
    <r>
      <rPr>
        <vertAlign val="subscript"/>
        <sz val="10"/>
        <rFont val="Arial"/>
        <family val="2"/>
      </rPr>
      <t>CAPM</t>
    </r>
    <r>
      <rPr>
        <sz val="10"/>
        <rFont val="Arial"/>
        <family val="2"/>
      </rPr>
      <t>(r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 = r</t>
    </r>
    <r>
      <rPr>
        <vertAlign val="subscript"/>
        <sz val="10"/>
        <rFont val="Arial"/>
        <family val="2"/>
      </rPr>
      <t>rf</t>
    </r>
    <r>
      <rPr>
        <sz val="10"/>
        <rFont val="Arial"/>
        <family val="2"/>
      </rPr>
      <t xml:space="preserve"> + </t>
    </r>
    <r>
      <rPr>
        <sz val="10"/>
        <rFont val="Symbol"/>
        <family val="1"/>
      </rPr>
      <t>b</t>
    </r>
    <r>
      <rPr>
        <sz val="10"/>
        <rFont val="Arial"/>
        <family val="2"/>
      </rPr>
      <t xml:space="preserve"> 
x MRP</t>
    </r>
  </si>
  <si>
    <t>Table 20 Estimate of the Cost of Equity using the CAPM</t>
  </si>
  <si>
    <r>
      <t>E</t>
    </r>
    <r>
      <rPr>
        <vertAlign val="subscript"/>
        <sz val="10"/>
        <rFont val="Arial"/>
        <family val="2"/>
      </rPr>
      <t>CAPM</t>
    </r>
    <r>
      <rPr>
        <sz val="10"/>
        <rFont val="Arial"/>
        <family val="2"/>
      </rPr>
      <t>(r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</si>
  <si>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r>
      <t>E</t>
    </r>
    <r>
      <rPr>
        <vertAlign val="subscript"/>
        <sz val="10"/>
        <rFont val="Arial"/>
        <family val="2"/>
      </rPr>
      <t>Black</t>
    </r>
    <r>
      <rPr>
        <sz val="10"/>
        <rFont val="Arial"/>
        <family val="2"/>
      </rPr>
      <t>(r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</si>
  <si>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r>
      <t>E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2"/>
      </rPr>
      <t>(r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</si>
  <si>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r>
      <t>E</t>
    </r>
    <r>
      <rPr>
        <vertAlign val="subscript"/>
        <sz val="10"/>
        <rFont val="Arial"/>
        <family val="2"/>
      </rPr>
      <t>ZBFF</t>
    </r>
    <r>
      <rPr>
        <sz val="10"/>
        <rFont val="Arial"/>
        <family val="2"/>
      </rPr>
      <t>(r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)</t>
    </r>
  </si>
  <si>
    <r>
      <t>E(r</t>
    </r>
    <r>
      <rPr>
        <vertAlign val="subscript"/>
        <sz val="10"/>
        <rFont val="Arial"/>
        <family val="2"/>
      </rPr>
      <t>d</t>
    </r>
    <r>
      <rPr>
        <sz val="10"/>
        <rFont val="Arial"/>
        <family val="2"/>
      </rPr>
      <t>)</t>
    </r>
  </si>
  <si>
    <r>
      <t>π</t>
    </r>
    <r>
      <rPr>
        <vertAlign val="superscript"/>
        <sz val="10"/>
        <rFont val="Arial"/>
        <family val="2"/>
      </rPr>
      <t>e</t>
    </r>
  </si>
  <si>
    <t>Asset Disposals</t>
  </si>
  <si>
    <t>Underspend</t>
  </si>
  <si>
    <t>Financial Gain in nominal $</t>
  </si>
  <si>
    <t>Financial Gain in 2010 $'s</t>
  </si>
  <si>
    <t>Table 23 Incentive Mechanism</t>
  </si>
  <si>
    <t>Table 24 Cost of Allocation derived by each component of the Reference Tariff (Real $Million at 31 December 2010)</t>
  </si>
  <si>
    <t xml:space="preserve">Table 25 Value of Total Revenue derived by the Authority (Real $million at 31 December 2010) </t>
  </si>
  <si>
    <t xml:space="preserve">Real $million ($ values at December 2010) </t>
  </si>
  <si>
    <t>Weighted average kms</t>
  </si>
  <si>
    <t>Total Full Haul</t>
  </si>
</sst>
</file>

<file path=xl/styles.xml><?xml version="1.0" encoding="utf-8"?>
<styleSheet xmlns="http://schemas.openxmlformats.org/spreadsheetml/2006/main">
  <numFmts count="7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00"/>
    <numFmt numFmtId="166" formatCode="_-* #,##0_-;\-* #,##0_-;_-* &quot;-&quot;??_-;_-@_-"/>
    <numFmt numFmtId="167" formatCode="&quot;$&quot;#,##0.000000;[Red]\-&quot;$&quot;#,##0.000000"/>
    <numFmt numFmtId="168" formatCode="_-* #,##0.000_-;\-* #,##0.000_-;_-* &quot;-&quot;??_-;_-@_-"/>
    <numFmt numFmtId="169" formatCode="_-* #,##0.0000_-;\-* #,##0.0000_-;_-* &quot;-&quot;??_-;_-@_-"/>
    <numFmt numFmtId="170" formatCode="_-* #,##0.0000000000_-;\-* #,##0.0000000000_-;_-* &quot;-&quot;??_-;_-@_-"/>
    <numFmt numFmtId="171" formatCode="0.000%"/>
    <numFmt numFmtId="172" formatCode="yyyy"/>
    <numFmt numFmtId="173" formatCode="#,##0_ ;\(#,##0\)_-;&quot;-&quot;"/>
    <numFmt numFmtId="174" formatCode="&quot;$&quot;#,##0_%_);\(&quot;$&quot;#,##0\)_%;&quot;$&quot;#,##0_%_);@_%_)"/>
    <numFmt numFmtId="175" formatCode="&quot;$&quot;#,##0_);\(&quot;$&quot;#,##0\)"/>
    <numFmt numFmtId="176" formatCode="0.0%_);\(0.0%\);0.0%_);@_%_)"/>
    <numFmt numFmtId="177" formatCode="#,##0_%_);\(#,##0\)_%;#,##0_%_);@_%_)"/>
    <numFmt numFmtId="178" formatCode="#,##0.00_%_);\(#,##0.00\)_%;#,##0.00_%_);@_%_)"/>
    <numFmt numFmtId="179" formatCode="&quot;$&quot;#,##0.00_%_);\(&quot;$&quot;#,##0.00\)_%;&quot;$&quot;#,##0.00_%_);@_%_)"/>
    <numFmt numFmtId="180" formatCode="&quot;$&quot;#,##0.00_);[Red]\(&quot;$&quot;#,##0.00\)"/>
    <numFmt numFmtId="181" formatCode="#,##0.00000;[Red]\-#,##0.00000"/>
    <numFmt numFmtId="182" formatCode="#,##0.0_%_);\(#,##0.0\)_%;#,##0.0_%_);@_%_)"/>
    <numFmt numFmtId="183" formatCode="m/d/yy_%_)"/>
    <numFmt numFmtId="184" formatCode="0_%_);\(0\)_%;0_%_);@_%_)"/>
    <numFmt numFmtId="185" formatCode="0_);[Red]\(0\)"/>
    <numFmt numFmtId="186" formatCode="0.00_);[Red]\(0.00\)"/>
    <numFmt numFmtId="187" formatCode="0.0000_);[Red]\(0.0000\)"/>
    <numFmt numFmtId="188" formatCode="0.0\%_);\(0.0\%\);0.0\%_);@_%_)"/>
    <numFmt numFmtId="189" formatCode="_-* #,##0.0_-;* \-#,##0.0_-;_-\ * &quot;-&quot;??_-;_-@_-"/>
    <numFmt numFmtId="190" formatCode="\ ;\ ;"/>
    <numFmt numFmtId="191" formatCode="&quot;$&quot;#,##0.0_);\(&quot;$&quot;#,##0.0\)"/>
    <numFmt numFmtId="192" formatCode="?.?,,_);[Red]\(?.?,,\)"/>
    <numFmt numFmtId="193" formatCode="_*\ #,##0.00_x"/>
    <numFmt numFmtId="194" formatCode="0.00_)"/>
    <numFmt numFmtId="195" formatCode="0.00\ \ \x"/>
    <numFmt numFmtId="196" formatCode="[&lt;1000]\ 0_);[&gt;1000]\ dd\-mmm\-yy;General"/>
    <numFmt numFmtId="197" formatCode="#,##0.0;\(#,##0.0\)"/>
    <numFmt numFmtId="198" formatCode="#,##0;[Red]\ \ \(#,##0\)"/>
    <numFmt numFmtId="199" formatCode="0\ \ ;\(0\)\ \ \ "/>
    <numFmt numFmtId="200" formatCode="#&quot; Yr &quot;##&quot; Mth&quot;"/>
    <numFmt numFmtId="201" formatCode="_(* #,##0_);_(* \(#,##0\);_(* &quot;-&quot;??_);_(@_)"/>
    <numFmt numFmtId="202" formatCode="_-* #,##0_)_-;* \(#,##0\)_-;_-* &quot;-&quot;??_-;_-@_-"/>
    <numFmt numFmtId="203" formatCode="&quot;£&quot;_-0.00"/>
    <numFmt numFmtId="204" formatCode="&quot;€&quot;_-0.00"/>
    <numFmt numFmtId="205" formatCode="_-[$€-2]* #,##0.00_-;\-[$€-2]* #,##0.00_-;_-[$€-2]* &quot;-&quot;??_-"/>
    <numFmt numFmtId="206" formatCode="#,##0_*;\(#,##0\);0_*;@_)"/>
    <numFmt numFmtId="207" formatCode="#,##0_);\(#,##0\);\-_);@_)"/>
    <numFmt numFmtId="208" formatCode="_-* #,##0\ _D_M_-;\-* #,##0\ _D_M_-;_-* &quot;-&quot;\ _D_M_-;_-@_-"/>
    <numFmt numFmtId="209" formatCode="_-* #,##0.00\ _D_M_-;\-* #,##0.00\ _D_M_-;_-* &quot;-&quot;??\ _D_M_-;_-@_-"/>
    <numFmt numFmtId="210" formatCode="_-* #,##0\ &quot;DM&quot;_-;\-* #,##0\ &quot;DM&quot;_-;_-* &quot;-&quot;\ &quot;DM&quot;_-;_-@_-"/>
    <numFmt numFmtId="211" formatCode="_-* #,##0.00\ &quot;DM&quot;_-;\-* #,##0.00\ &quot;DM&quot;_-;_-* &quot;-&quot;??\ &quot;DM&quot;_-;_-@_-"/>
    <numFmt numFmtId="212" formatCode="\£\ #,##0_);[Red]\(\£\ #,##0\)"/>
    <numFmt numFmtId="213" formatCode="\¥\ #,##0_);[Red]\(\¥\ #,##0\)"/>
    <numFmt numFmtId="214" formatCode="\•\ \ @"/>
    <numFmt numFmtId="215" formatCode="#,##0;\-#,##0;&quot;-&quot;"/>
    <numFmt numFmtId="216" formatCode="&quot;$&quot;#,\);\(&quot;$&quot;#,##0\)"/>
    <numFmt numFmtId="217" formatCode="00000"/>
    <numFmt numFmtId="218" formatCode="\ \ _•\–\ \ \ \ @"/>
    <numFmt numFmtId="219" formatCode="_(* #,##0.00000_);_(* \(#,##0.00000\);_(* &quot;-&quot;??_);_(@_)"/>
    <numFmt numFmtId="220" formatCode="#,##0.0_);\(#,##0.0\)"/>
    <numFmt numFmtId="221" formatCode="_-* #,##0.00_-;[Red]\(#,##0.00\)_-;_-* &quot;-&quot;??_-;_-@_-"/>
    <numFmt numFmtId="222" formatCode=";;;&quot;[&quot;@&quot;]&quot;"/>
    <numFmt numFmtId="223" formatCode="0.00000000"/>
    <numFmt numFmtId="224" formatCode="0.0"/>
    <numFmt numFmtId="225" formatCode="_-* #,##0.0_-;\-* #,##0.0_-;_-* &quot;-&quot;??_-;_-@_-"/>
    <numFmt numFmtId="226" formatCode="#,##0_ ;\-#,##0\ "/>
  </numFmts>
  <fonts count="10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b/>
      <sz val="10"/>
      <color indexed="55"/>
      <name val="Arial"/>
      <family val="2"/>
    </font>
    <font>
      <sz val="10"/>
      <color indexed="12"/>
      <name val="Arial"/>
      <family val="0"/>
    </font>
    <font>
      <b/>
      <sz val="10"/>
      <color indexed="23"/>
      <name val="Arial"/>
      <family val="2"/>
    </font>
    <font>
      <sz val="8"/>
      <color indexed="12"/>
      <name val="Arial"/>
      <family val="0"/>
    </font>
    <font>
      <b/>
      <sz val="10"/>
      <color indexed="10"/>
      <name val="Arial"/>
      <family val="2"/>
    </font>
    <font>
      <sz val="10"/>
      <name val="Helv"/>
      <family val="0"/>
    </font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Palatino"/>
      <family val="0"/>
    </font>
    <font>
      <b/>
      <sz val="12"/>
      <name val="Times New Roman"/>
      <family val="1"/>
    </font>
    <font>
      <b/>
      <sz val="10"/>
      <name val="MS Sans Serif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sz val="8"/>
      <name val="Palatino"/>
      <family val="1"/>
    </font>
    <font>
      <b/>
      <sz val="11"/>
      <color indexed="9"/>
      <name val="Calibri"/>
      <family val="2"/>
    </font>
    <font>
      <sz val="10"/>
      <color indexed="24"/>
      <name val="Arial"/>
      <family val="0"/>
    </font>
    <font>
      <sz val="10"/>
      <name val="MS Serif"/>
      <family val="0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  <family val="0"/>
    </font>
    <font>
      <sz val="11"/>
      <name val="Book Antiqua"/>
      <family val="0"/>
    </font>
    <font>
      <sz val="11"/>
      <color indexed="12"/>
      <name val="Book Antiqua"/>
      <family val="1"/>
    </font>
    <font>
      <sz val="10"/>
      <color indexed="50"/>
      <name val="Arial"/>
      <family val="2"/>
    </font>
    <font>
      <sz val="10"/>
      <color indexed="16"/>
      <name val="MS Serif"/>
      <family val="0"/>
    </font>
    <font>
      <i/>
      <sz val="11"/>
      <color indexed="23"/>
      <name val="Calibri"/>
      <family val="2"/>
    </font>
    <font>
      <sz val="6"/>
      <color indexed="23"/>
      <name val="Helvetica-Black"/>
      <family val="0"/>
    </font>
    <font>
      <sz val="9.5"/>
      <color indexed="23"/>
      <name val="Helvetica-Black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20"/>
      <name val="Tahoma"/>
      <family val="2"/>
    </font>
    <font>
      <b/>
      <sz val="10"/>
      <name val="Tahoma"/>
      <family val="2"/>
    </font>
    <font>
      <sz val="6"/>
      <name val="Palatino"/>
      <family val="1"/>
    </font>
    <font>
      <b/>
      <sz val="12"/>
      <name val="Arial"/>
      <family val="2"/>
    </font>
    <font>
      <b/>
      <sz val="15"/>
      <color indexed="18"/>
      <name val="Arial"/>
      <family val="2"/>
    </font>
    <font>
      <sz val="10"/>
      <name val="Helvetica-Black"/>
      <family val="0"/>
    </font>
    <font>
      <sz val="28"/>
      <name val="Helvetica-Black"/>
      <family val="0"/>
    </font>
    <font>
      <sz val="18"/>
      <name val="Helvetica-Black"/>
      <family val="0"/>
    </font>
    <font>
      <sz val="10"/>
      <name val="Palatino"/>
      <family val="0"/>
    </font>
    <font>
      <sz val="18"/>
      <name val="Palatino"/>
      <family val="1"/>
    </font>
    <font>
      <i/>
      <sz val="14"/>
      <name val="Palatino"/>
      <family val="1"/>
    </font>
    <font>
      <b/>
      <sz val="11"/>
      <color indexed="9"/>
      <name val="Arial"/>
      <family val="0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52"/>
      <name val="Calibri"/>
      <family val="2"/>
    </font>
    <font>
      <sz val="8"/>
      <name val="Helv"/>
      <family val="0"/>
    </font>
    <font>
      <sz val="11"/>
      <name val="굴림체"/>
      <family val="3"/>
    </font>
    <font>
      <sz val="10"/>
      <name val="Frutiger 45 Light"/>
      <family val="0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1"/>
      <name val="Arial"/>
      <family val="0"/>
    </font>
    <font>
      <sz val="10"/>
      <color indexed="14"/>
      <name val="Arial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0"/>
      <name val="Times New Roman"/>
      <family val="1"/>
    </font>
    <font>
      <b/>
      <u val="single"/>
      <sz val="12"/>
      <name val="Helv"/>
      <family val="0"/>
    </font>
    <font>
      <b/>
      <sz val="13"/>
      <name val="Arial"/>
      <family val="2"/>
    </font>
    <font>
      <sz val="9"/>
      <name val="Arial"/>
      <family val="2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u val="single"/>
      <sz val="10"/>
      <name val="Arial"/>
      <family val="2"/>
    </font>
    <font>
      <sz val="9"/>
      <name val="Helvetica-Black"/>
      <family val="0"/>
    </font>
    <font>
      <sz val="12"/>
      <name val="Palatino"/>
      <family val="1"/>
    </font>
    <font>
      <sz val="11"/>
      <name val="Helvetica-Black"/>
      <family val="0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sz val="10"/>
      <color indexed="22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b/>
      <sz val="10"/>
      <color indexed="2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vertAlign val="subscript"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23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17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 style="medium"/>
      <bottom style="medium"/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thin"/>
      <top style="thin"/>
      <bottom style="thin"/>
    </border>
    <border>
      <left/>
      <right/>
      <top style="double"/>
      <bottom/>
    </border>
    <border>
      <left/>
      <right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10" fillId="0" borderId="0" applyFont="0" applyFill="0" applyBorder="0" applyAlignment="0" applyProtection="0"/>
    <xf numFmtId="0" fontId="0" fillId="0" borderId="0" applyFont="0" applyFill="0" applyBorder="0" applyAlignment="0" applyProtection="0"/>
    <xf numFmtId="212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9" fontId="15" fillId="0" borderId="0">
      <alignment horizontal="center"/>
      <protection/>
    </xf>
    <xf numFmtId="0" fontId="16" fillId="0" borderId="1" applyNumberFormat="0" applyFill="0" applyAlignment="0" applyProtection="0"/>
    <xf numFmtId="175" fontId="17" fillId="0" borderId="2" applyAlignment="0" applyProtection="0"/>
    <xf numFmtId="0" fontId="18" fillId="0" borderId="3" applyNumberFormat="0" applyFont="0" applyFill="0" applyAlignment="0" applyProtection="0"/>
    <xf numFmtId="0" fontId="18" fillId="0" borderId="4" applyNumberFormat="0" applyFont="0" applyFill="0" applyAlignment="0" applyProtection="0"/>
    <xf numFmtId="214" fontId="11" fillId="0" borderId="0" applyFont="0" applyFill="0" applyBorder="0" applyAlignment="0" applyProtection="0"/>
    <xf numFmtId="215" fontId="19" fillId="0" borderId="0" applyFill="0" applyBorder="0" applyAlignment="0">
      <protection/>
    </xf>
    <xf numFmtId="0" fontId="20" fillId="15" borderId="5" applyNumberFormat="0" applyAlignment="0" applyProtection="0"/>
    <xf numFmtId="176" fontId="21" fillId="0" borderId="0" applyFill="0" applyBorder="0" applyAlignment="0">
      <protection/>
    </xf>
    <xf numFmtId="202" fontId="0" fillId="0" borderId="0" applyFill="0" applyBorder="0" applyProtection="0">
      <alignment/>
    </xf>
    <xf numFmtId="0" fontId="22" fillId="16" borderId="6" applyNumberFormat="0" applyAlignment="0" applyProtection="0"/>
    <xf numFmtId="43" fontId="0" fillId="0" borderId="0" applyFont="0" applyFill="0" applyBorder="0" applyAlignment="0" applyProtection="0"/>
    <xf numFmtId="216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216" fontId="0" fillId="0" borderId="0">
      <alignment/>
      <protection/>
    </xf>
    <xf numFmtId="41" fontId="0" fillId="0" borderId="0" applyFont="0" applyFill="0" applyBorder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4" fillId="0" borderId="0" applyNumberFormat="0" applyAlignment="0">
      <protection/>
    </xf>
    <xf numFmtId="0" fontId="25" fillId="0" borderId="0">
      <alignment horizontal="left"/>
      <protection/>
    </xf>
    <xf numFmtId="0" fontId="26" fillId="0" borderId="0">
      <alignment/>
      <protection/>
    </xf>
    <xf numFmtId="0" fontId="27" fillId="0" borderId="0">
      <alignment horizontal="left"/>
      <protection/>
    </xf>
    <xf numFmtId="44" fontId="0" fillId="0" borderId="0" applyFont="0" applyFill="0" applyBorder="0" applyAlignment="0" applyProtection="0"/>
    <xf numFmtId="20" fontId="0" fillId="0" borderId="0" applyFont="0" applyFill="0" applyBorder="0" applyAlignment="0" applyProtection="0"/>
    <xf numFmtId="217" fontId="28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1" fillId="0" borderId="0" applyFill="0" applyBorder="0">
      <alignment/>
      <protection locked="0"/>
    </xf>
    <xf numFmtId="178" fontId="21" fillId="0" borderId="0" applyFill="0" applyBorder="0">
      <alignment/>
      <protection/>
    </xf>
    <xf numFmtId="178" fontId="21" fillId="0" borderId="0" applyFill="0" applyBorder="0">
      <alignment/>
      <protection locked="0"/>
    </xf>
    <xf numFmtId="180" fontId="29" fillId="0" borderId="7">
      <alignment/>
      <protection locked="0"/>
    </xf>
    <xf numFmtId="174" fontId="21" fillId="0" borderId="0" applyFont="0" applyFill="0" applyBorder="0" applyAlignment="0" applyProtection="0"/>
    <xf numFmtId="179" fontId="21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180" fontId="10" fillId="0" borderId="0" applyFill="0" applyBorder="0">
      <alignment horizontal="right"/>
      <protection/>
    </xf>
    <xf numFmtId="181" fontId="0" fillId="0" borderId="0" applyFont="0" applyFill="0" applyBorder="0" applyAlignment="0" applyProtection="0"/>
    <xf numFmtId="218" fontId="11" fillId="0" borderId="0" applyFont="0" applyFill="0" applyBorder="0" applyAlignment="0" applyProtection="0"/>
    <xf numFmtId="38" fontId="30" fillId="7" borderId="8">
      <alignment/>
      <protection/>
    </xf>
    <xf numFmtId="182" fontId="21" fillId="0" borderId="0" applyFill="0" applyBorder="0">
      <alignment/>
      <protection/>
    </xf>
    <xf numFmtId="183" fontId="21" fillId="0" borderId="0" applyFont="0" applyFill="0" applyBorder="0" applyAlignment="0" applyProtection="0"/>
    <xf numFmtId="15" fontId="6" fillId="0" borderId="0" applyFill="0" applyBorder="0">
      <alignment/>
      <protection locked="0"/>
    </xf>
    <xf numFmtId="15" fontId="6" fillId="0" borderId="0" applyFont="0" applyFill="0" applyBorder="0" applyAlignment="0" applyProtection="0"/>
    <xf numFmtId="1" fontId="0" fillId="0" borderId="0" applyFill="0" applyBorder="0">
      <alignment horizontal="right"/>
      <protection/>
    </xf>
    <xf numFmtId="2" fontId="0" fillId="0" borderId="0" applyFill="0" applyBorder="0">
      <alignment horizontal="right"/>
      <protection/>
    </xf>
    <xf numFmtId="2" fontId="6" fillId="0" borderId="0" applyFill="0" applyBorder="0">
      <alignment/>
      <protection locked="0"/>
    </xf>
    <xf numFmtId="164" fontId="0" fillId="0" borderId="0" applyFill="0" applyBorder="0">
      <alignment horizontal="right"/>
      <protection/>
    </xf>
    <xf numFmtId="164" fontId="6" fillId="0" borderId="0" applyFill="0" applyBorder="0">
      <alignment/>
      <protection locked="0"/>
    </xf>
    <xf numFmtId="20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84" fontId="21" fillId="0" borderId="9" applyNumberFormat="0" applyFont="0" applyFill="0" applyAlignment="0" applyProtection="0"/>
    <xf numFmtId="0" fontId="31" fillId="0" borderId="0" applyNumberFormat="0" applyAlignment="0">
      <protection/>
    </xf>
    <xf numFmtId="20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5" fontId="10" fillId="0" borderId="0" applyFill="0" applyBorder="0">
      <alignment horizontal="right"/>
      <protection/>
    </xf>
    <xf numFmtId="186" fontId="10" fillId="0" borderId="0" applyFill="0" applyBorder="0">
      <alignment horizontal="right"/>
      <protection/>
    </xf>
    <xf numFmtId="187" fontId="10" fillId="0" borderId="0" applyFill="0" applyBorder="0">
      <alignment horizontal="right"/>
      <protection/>
    </xf>
    <xf numFmtId="2" fontId="2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>
      <alignment horizontal="left"/>
      <protection/>
    </xf>
    <xf numFmtId="0" fontId="34" fillId="0" borderId="0">
      <alignment horizontal="left"/>
      <protection/>
    </xf>
    <xf numFmtId="0" fontId="35" fillId="0" borderId="0" applyFill="0" applyBorder="0" applyProtection="0">
      <alignment horizontal="left"/>
    </xf>
    <xf numFmtId="0" fontId="35" fillId="0" borderId="0">
      <alignment horizontal="left"/>
      <protection/>
    </xf>
    <xf numFmtId="0" fontId="35" fillId="0" borderId="0" applyFill="0" applyBorder="0" applyProtection="0">
      <alignment horizontal="left"/>
    </xf>
    <xf numFmtId="201" fontId="28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>
      <alignment/>
      <protection/>
    </xf>
    <xf numFmtId="0" fontId="36" fillId="17" borderId="0" applyNumberFormat="0" applyBorder="0" applyAlignment="0" applyProtection="0"/>
    <xf numFmtId="38" fontId="1" fillId="6" borderId="0" applyNumberFormat="0" applyBorder="0" applyAlignment="0" applyProtection="0"/>
    <xf numFmtId="188" fontId="21" fillId="0" borderId="0" applyFont="0" applyFill="0" applyBorder="0" applyAlignment="0" applyProtection="0"/>
    <xf numFmtId="0" fontId="37" fillId="0" borderId="0" applyProtection="0">
      <alignment horizontal="right"/>
    </xf>
    <xf numFmtId="189" fontId="38" fillId="0" borderId="0">
      <alignment/>
      <protection/>
    </xf>
    <xf numFmtId="189" fontId="39" fillId="0" borderId="0">
      <alignment/>
      <protection/>
    </xf>
    <xf numFmtId="0" fontId="39" fillId="0" borderId="0">
      <alignment horizontal="right"/>
      <protection/>
    </xf>
    <xf numFmtId="0" fontId="40" fillId="0" borderId="0">
      <alignment horizontal="left"/>
      <protection/>
    </xf>
    <xf numFmtId="0" fontId="37" fillId="0" borderId="0" applyProtection="0">
      <alignment horizontal="right"/>
    </xf>
    <xf numFmtId="0" fontId="41" fillId="0" borderId="10" applyNumberFormat="0" applyAlignment="0" applyProtection="0"/>
    <xf numFmtId="0" fontId="41" fillId="0" borderId="11">
      <alignment horizontal="left" vertical="center"/>
      <protection/>
    </xf>
    <xf numFmtId="0" fontId="2" fillId="0" borderId="1" applyNumberFormat="0">
      <alignment/>
      <protection/>
    </xf>
    <xf numFmtId="0" fontId="42" fillId="0" borderId="0" applyNumberFormat="0" applyFill="0" applyBorder="0">
      <alignment/>
      <protection/>
    </xf>
    <xf numFmtId="0" fontId="43" fillId="0" borderId="0">
      <alignment horizontal="left"/>
      <protection/>
    </xf>
    <xf numFmtId="0" fontId="44" fillId="0" borderId="12">
      <alignment horizontal="left" vertical="top"/>
      <protection/>
    </xf>
    <xf numFmtId="0" fontId="45" fillId="0" borderId="0" applyProtection="0">
      <alignment horizontal="left"/>
    </xf>
    <xf numFmtId="0" fontId="46" fillId="0" borderId="0">
      <alignment horizontal="left"/>
      <protection/>
    </xf>
    <xf numFmtId="0" fontId="47" fillId="0" borderId="12">
      <alignment horizontal="left" vertical="top"/>
      <protection/>
    </xf>
    <xf numFmtId="0" fontId="48" fillId="0" borderId="0" applyProtection="0">
      <alignment horizontal="left"/>
    </xf>
    <xf numFmtId="0" fontId="48" fillId="0" borderId="0">
      <alignment horizontal="left"/>
      <protection/>
    </xf>
    <xf numFmtId="176" fontId="21" fillId="0" borderId="0" applyFill="0" applyBorder="0">
      <alignment/>
      <protection/>
    </xf>
    <xf numFmtId="38" fontId="50" fillId="0" borderId="0">
      <alignment/>
      <protection/>
    </xf>
    <xf numFmtId="0" fontId="2" fillId="0" borderId="1" applyNumberFormat="0">
      <alignment/>
      <protection/>
    </xf>
    <xf numFmtId="0" fontId="51" fillId="0" borderId="0">
      <alignment/>
      <protection/>
    </xf>
    <xf numFmtId="0" fontId="50" fillId="0" borderId="0">
      <alignment horizontal="left"/>
      <protection/>
    </xf>
    <xf numFmtId="220" fontId="2" fillId="0" borderId="0" applyProtection="0">
      <alignment/>
    </xf>
    <xf numFmtId="190" fontId="52" fillId="0" borderId="0" applyAlignment="0">
      <protection hidden="1"/>
    </xf>
    <xf numFmtId="0" fontId="3" fillId="0" borderId="0" applyNumberFormat="0" applyFill="0" applyBorder="0" applyAlignment="0" applyProtection="0"/>
    <xf numFmtId="191" fontId="21" fillId="4" borderId="0" applyNumberFormat="0" applyBorder="0">
      <alignment vertical="top"/>
      <protection/>
    </xf>
    <xf numFmtId="10" fontId="1" fillId="4" borderId="13" applyNumberFormat="0" applyBorder="0" applyAlignment="0" applyProtection="0"/>
    <xf numFmtId="1" fontId="1" fillId="0" borderId="0">
      <alignment/>
      <protection/>
    </xf>
    <xf numFmtId="38" fontId="53" fillId="0" borderId="0">
      <alignment/>
      <protection/>
    </xf>
    <xf numFmtId="38" fontId="54" fillId="0" borderId="0">
      <alignment/>
      <protection/>
    </xf>
    <xf numFmtId="38" fontId="55" fillId="0" borderId="0">
      <alignment/>
      <protection/>
    </xf>
    <xf numFmtId="38" fontId="56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14" applyNumberFormat="0" applyFill="0" applyAlignment="0" applyProtection="0"/>
    <xf numFmtId="15" fontId="10" fillId="0" borderId="0" applyFill="0" applyBorder="0">
      <alignment horizontal="right"/>
      <protection/>
    </xf>
    <xf numFmtId="0" fontId="59" fillId="0" borderId="0" applyNumberFormat="0" applyFill="0" applyBorder="0" applyAlignment="0" applyProtection="0"/>
    <xf numFmtId="41" fontId="60" fillId="0" borderId="0" applyFont="0" applyFill="0" applyBorder="0" applyAlignment="0" applyProtection="0"/>
    <xf numFmtId="192" fontId="10" fillId="0" borderId="0" applyFill="0" applyBorder="0">
      <alignment horizontal="right"/>
      <protection/>
    </xf>
    <xf numFmtId="193" fontId="61" fillId="0" borderId="0" applyFont="0" applyFill="0" applyBorder="0" applyAlignment="0" applyProtection="0"/>
    <xf numFmtId="0" fontId="62" fillId="7" borderId="0" applyNumberFormat="0" applyBorder="0" applyAlignment="0" applyProtection="0"/>
    <xf numFmtId="194" fontId="63" fillId="0" borderId="0">
      <alignment/>
      <protection/>
    </xf>
    <xf numFmtId="0" fontId="6" fillId="0" borderId="0" applyFill="0" applyBorder="0">
      <alignment/>
      <protection locked="0"/>
    </xf>
    <xf numFmtId="0" fontId="46" fillId="0" borderId="0">
      <alignment/>
      <protection/>
    </xf>
    <xf numFmtId="0" fontId="0" fillId="4" borderId="15" applyNumberFormat="0" applyFont="0" applyAlignment="0" applyProtection="0"/>
    <xf numFmtId="3" fontId="64" fillId="0" borderId="0">
      <alignment/>
      <protection/>
    </xf>
    <xf numFmtId="0" fontId="65" fillId="0" borderId="0">
      <alignment horizontal="left"/>
      <protection/>
    </xf>
    <xf numFmtId="0" fontId="66" fillId="15" borderId="16" applyNumberFormat="0" applyAlignment="0" applyProtection="0"/>
    <xf numFmtId="219" fontId="0" fillId="0" borderId="0" applyFill="0" applyBorder="0">
      <alignment horizontal="center"/>
      <protection/>
    </xf>
    <xf numFmtId="1" fontId="67" fillId="0" borderId="0" applyProtection="0">
      <alignment horizontal="right" vertical="center"/>
    </xf>
    <xf numFmtId="0" fontId="0" fillId="18" borderId="0" applyNumberFormat="0" applyFont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10" fontId="68" fillId="0" borderId="0" applyFont="0" applyFill="0" applyBorder="0" applyAlignment="0" applyProtection="0"/>
    <xf numFmtId="10" fontId="0" fillId="0" borderId="0" applyFont="0" applyFill="0" applyBorder="0" applyAlignment="0" applyProtection="0"/>
    <xf numFmtId="177" fontId="21" fillId="0" borderId="0" applyFill="0" applyBorder="0">
      <alignment/>
      <protection locked="0"/>
    </xf>
    <xf numFmtId="177" fontId="21" fillId="0" borderId="0" applyFill="0" applyBorder="0">
      <alignment/>
      <protection/>
    </xf>
    <xf numFmtId="9" fontId="64" fillId="0" borderId="0">
      <alignment/>
      <protection/>
    </xf>
    <xf numFmtId="195" fontId="0" fillId="0" borderId="0">
      <alignment/>
      <protection/>
    </xf>
    <xf numFmtId="194" fontId="69" fillId="0" borderId="0">
      <alignment/>
      <protection/>
    </xf>
    <xf numFmtId="14" fontId="59" fillId="0" borderId="0" applyNumberFormat="0" applyFill="0" applyBorder="0" applyAlignment="0" applyProtection="0"/>
    <xf numFmtId="0" fontId="34" fillId="0" borderId="17">
      <alignment vertical="center"/>
      <protection/>
    </xf>
    <xf numFmtId="196" fontId="10" fillId="0" borderId="0" applyFont="0" applyFill="0" applyBorder="0" applyAlignment="0" applyProtection="0"/>
    <xf numFmtId="0" fontId="70" fillId="0" borderId="0" applyFill="0" applyBorder="0" applyAlignment="0">
      <protection/>
    </xf>
    <xf numFmtId="17" fontId="10" fillId="0" borderId="0" applyFill="0" applyBorder="0">
      <alignment horizontal="right"/>
      <protection/>
    </xf>
    <xf numFmtId="197" fontId="1" fillId="0" borderId="0" applyAlignment="0" applyProtection="0"/>
    <xf numFmtId="206" fontId="71" fillId="0" borderId="0" applyFill="0" applyBorder="0" applyProtection="0">
      <alignment/>
    </xf>
    <xf numFmtId="221" fontId="1" fillId="0" borderId="0">
      <alignment/>
      <protection/>
    </xf>
    <xf numFmtId="173" fontId="0" fillId="0" borderId="0">
      <alignment/>
      <protection/>
    </xf>
    <xf numFmtId="0" fontId="41" fillId="0" borderId="0">
      <alignment/>
      <protection/>
    </xf>
    <xf numFmtId="0" fontId="50" fillId="0" borderId="0">
      <alignment/>
      <protection/>
    </xf>
    <xf numFmtId="15" fontId="0" fillId="0" borderId="0">
      <alignment/>
      <protection/>
    </xf>
    <xf numFmtId="10" fontId="0" fillId="0" borderId="0">
      <alignment/>
      <protection/>
    </xf>
    <xf numFmtId="173" fontId="2" fillId="6" borderId="18">
      <alignment/>
      <protection/>
    </xf>
    <xf numFmtId="198" fontId="11" fillId="0" borderId="2" applyFont="0" applyFill="0" applyAlignment="0" applyProtection="0"/>
    <xf numFmtId="0" fontId="49" fillId="16" borderId="0">
      <alignment/>
      <protection/>
    </xf>
    <xf numFmtId="40" fontId="72" fillId="0" borderId="0" applyBorder="0">
      <alignment horizontal="right"/>
      <protection/>
    </xf>
    <xf numFmtId="0" fontId="73" fillId="0" borderId="0" applyBorder="0" applyProtection="0">
      <alignment vertical="center"/>
    </xf>
    <xf numFmtId="184" fontId="73" fillId="0" borderId="1" applyBorder="0" applyProtection="0">
      <alignment horizontal="right" vertical="center"/>
    </xf>
    <xf numFmtId="0" fontId="74" fillId="19" borderId="0" applyBorder="0" applyProtection="0">
      <alignment horizontal="centerContinuous" vertical="center"/>
    </xf>
    <xf numFmtId="0" fontId="74" fillId="20" borderId="1" applyBorder="0" applyProtection="0">
      <alignment horizontal="centerContinuous" vertical="center"/>
    </xf>
    <xf numFmtId="0" fontId="73" fillId="0" borderId="0" applyBorder="0" applyProtection="0">
      <alignment vertical="center"/>
    </xf>
    <xf numFmtId="0" fontId="75" fillId="0" borderId="0" applyFill="0" applyBorder="0" applyAlignment="0">
      <protection/>
    </xf>
    <xf numFmtId="0" fontId="35" fillId="0" borderId="0">
      <alignment horizontal="left"/>
      <protection/>
    </xf>
    <xf numFmtId="0" fontId="46" fillId="0" borderId="0">
      <alignment/>
      <protection/>
    </xf>
    <xf numFmtId="0" fontId="76" fillId="0" borderId="0" applyFill="0" applyBorder="0" applyProtection="0">
      <alignment horizontal="left"/>
    </xf>
    <xf numFmtId="0" fontId="35" fillId="0" borderId="12" applyFill="0" applyBorder="0" applyProtection="0">
      <alignment horizontal="left" vertical="top"/>
    </xf>
    <xf numFmtId="0" fontId="77" fillId="0" borderId="0">
      <alignment/>
      <protection/>
    </xf>
    <xf numFmtId="0" fontId="77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198" fontId="11" fillId="0" borderId="0" applyFont="0" applyFill="0" applyBorder="0" applyAlignment="0" applyProtection="0"/>
    <xf numFmtId="207" fontId="41" fillId="0" borderId="0" applyFill="0" applyBorder="0" applyProtection="0">
      <alignment/>
    </xf>
    <xf numFmtId="0" fontId="78" fillId="0" borderId="0">
      <alignment/>
      <protection/>
    </xf>
    <xf numFmtId="0" fontId="77" fillId="0" borderId="0">
      <alignment/>
      <protection/>
    </xf>
    <xf numFmtId="0" fontId="23" fillId="0" borderId="19" applyNumberFormat="0" applyFont="0" applyFill="0" applyAlignment="0" applyProtection="0"/>
    <xf numFmtId="176" fontId="21" fillId="0" borderId="11" applyFill="0">
      <alignment/>
      <protection/>
    </xf>
    <xf numFmtId="176" fontId="21" fillId="0" borderId="2" applyFill="0">
      <alignment/>
      <protection/>
    </xf>
    <xf numFmtId="176" fontId="21" fillId="0" borderId="11" applyFill="0">
      <alignment/>
      <protection/>
    </xf>
    <xf numFmtId="176" fontId="21" fillId="0" borderId="2" applyFill="0">
      <alignment/>
      <protection/>
    </xf>
    <xf numFmtId="198" fontId="11" fillId="0" borderId="20" applyFont="0" applyFill="0" applyAlignment="0" applyProtection="0"/>
    <xf numFmtId="222" fontId="1" fillId="0" borderId="0">
      <alignment horizontal="center"/>
      <protection/>
    </xf>
    <xf numFmtId="210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79" fillId="0" borderId="0" applyNumberFormat="0" applyFill="0" applyBorder="0">
      <alignment/>
      <protection/>
    </xf>
    <xf numFmtId="0" fontId="80" fillId="0" borderId="0" applyNumberFormat="0" applyFill="0" applyBorder="0" applyAlignment="0" applyProtection="0"/>
    <xf numFmtId="0" fontId="65" fillId="0" borderId="0" applyNumberFormat="0" applyFill="0" applyBorder="0" applyAlignment="0">
      <protection/>
    </xf>
    <xf numFmtId="199" fontId="81" fillId="0" borderId="1" applyBorder="0" applyProtection="0">
      <alignment horizontal="right"/>
    </xf>
    <xf numFmtId="200" fontId="10" fillId="0" borderId="0" applyFill="0" applyBorder="0">
      <alignment horizontal="right"/>
      <protection/>
    </xf>
  </cellStyleXfs>
  <cellXfs count="39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17" borderId="0" xfId="0" applyFill="1" applyAlignment="1">
      <alignment/>
    </xf>
    <xf numFmtId="2" fontId="0" fillId="17" borderId="0" xfId="0" applyNumberFormat="1" applyFill="1" applyAlignment="1">
      <alignment/>
    </xf>
    <xf numFmtId="10" fontId="0" fillId="7" borderId="0" xfId="174" applyNumberFormat="1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2" fontId="0" fillId="7" borderId="0" xfId="0" applyNumberFormat="1" applyFill="1" applyAlignment="1">
      <alignment/>
    </xf>
    <xf numFmtId="165" fontId="5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165" fontId="7" fillId="0" borderId="0" xfId="0" applyNumberFormat="1" applyFont="1" applyAlignment="1">
      <alignment/>
    </xf>
    <xf numFmtId="8" fontId="0" fillId="0" borderId="0" xfId="0" applyNumberFormat="1" applyAlignment="1">
      <alignment/>
    </xf>
    <xf numFmtId="10" fontId="0" fillId="0" borderId="0" xfId="174" applyNumberFormat="1" applyFont="1" applyAlignment="1">
      <alignment/>
    </xf>
    <xf numFmtId="166" fontId="0" fillId="0" borderId="0" xfId="58" applyNumberFormat="1" applyFont="1" applyAlignment="1">
      <alignment/>
    </xf>
    <xf numFmtId="43" fontId="0" fillId="0" borderId="0" xfId="0" applyNumberFormat="1" applyAlignment="1">
      <alignment/>
    </xf>
    <xf numFmtId="170" fontId="0" fillId="0" borderId="0" xfId="58" applyNumberFormat="1" applyFont="1" applyAlignment="1">
      <alignment/>
    </xf>
    <xf numFmtId="0" fontId="7" fillId="0" borderId="0" xfId="0" applyFont="1" applyFill="1" applyAlignment="1">
      <alignment horizontal="right"/>
    </xf>
    <xf numFmtId="8" fontId="7" fillId="0" borderId="0" xfId="0" applyNumberFormat="1" applyFont="1" applyFill="1" applyAlignment="1">
      <alignment horizontal="right"/>
    </xf>
    <xf numFmtId="0" fontId="0" fillId="0" borderId="21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2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12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2" fillId="0" borderId="26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6" borderId="27" xfId="0" applyFont="1" applyFill="1" applyBorder="1" applyAlignment="1">
      <alignment/>
    </xf>
    <xf numFmtId="0" fontId="0" fillId="6" borderId="29" xfId="0" applyFill="1" applyBorder="1" applyAlignment="1">
      <alignment/>
    </xf>
    <xf numFmtId="0" fontId="0" fillId="0" borderId="0" xfId="0" applyFill="1" applyBorder="1" applyAlignment="1">
      <alignment/>
    </xf>
    <xf numFmtId="0" fontId="0" fillId="6" borderId="29" xfId="0" applyFont="1" applyFill="1" applyBorder="1" applyAlignment="1">
      <alignment/>
    </xf>
    <xf numFmtId="8" fontId="2" fillId="0" borderId="32" xfId="0" applyNumberFormat="1" applyFont="1" applyBorder="1" applyAlignment="1">
      <alignment/>
    </xf>
    <xf numFmtId="10" fontId="2" fillId="0" borderId="32" xfId="174" applyNumberFormat="1" applyFont="1" applyBorder="1" applyAlignment="1">
      <alignment/>
    </xf>
    <xf numFmtId="8" fontId="2" fillId="0" borderId="33" xfId="0" applyNumberFormat="1" applyFont="1" applyBorder="1" applyAlignment="1">
      <alignment/>
    </xf>
    <xf numFmtId="10" fontId="0" fillId="7" borderId="0" xfId="0" applyNumberFormat="1" applyFill="1" applyAlignment="1">
      <alignment/>
    </xf>
    <xf numFmtId="0" fontId="2" fillId="0" borderId="27" xfId="0" applyFont="1" applyBorder="1" applyAlignment="1">
      <alignment horizontal="right"/>
    </xf>
    <xf numFmtId="2" fontId="2" fillId="0" borderId="28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2" fontId="0" fillId="7" borderId="0" xfId="0" applyNumberFormat="1" applyFill="1" applyBorder="1" applyAlignment="1">
      <alignment/>
    </xf>
    <xf numFmtId="0" fontId="2" fillId="0" borderId="30" xfId="0" applyFont="1" applyBorder="1" applyAlignment="1">
      <alignment horizontal="right"/>
    </xf>
    <xf numFmtId="2" fontId="2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7" borderId="0" xfId="58" applyNumberFormat="1" applyFont="1" applyFill="1" applyBorder="1" applyAlignment="1">
      <alignment/>
    </xf>
    <xf numFmtId="3" fontId="0" fillId="7" borderId="32" xfId="58" applyNumberFormat="1" applyFont="1" applyFill="1" applyBorder="1" applyAlignment="1">
      <alignment/>
    </xf>
    <xf numFmtId="0" fontId="0" fillId="0" borderId="3" xfId="0" applyBorder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28" xfId="0" applyFill="1" applyBorder="1" applyAlignment="1">
      <alignment/>
    </xf>
    <xf numFmtId="165" fontId="5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3" xfId="0" applyFont="1" applyFill="1" applyBorder="1" applyAlignment="1">
      <alignment/>
    </xf>
    <xf numFmtId="165" fontId="5" fillId="0" borderId="28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0" fontId="0" fillId="0" borderId="3" xfId="0" applyFill="1" applyBorder="1" applyAlignment="1">
      <alignment/>
    </xf>
    <xf numFmtId="10" fontId="0" fillId="17" borderId="0" xfId="174" applyNumberFormat="1" applyFont="1" applyFill="1" applyAlignment="1">
      <alignment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27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8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0" fillId="17" borderId="0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2" fontId="0" fillId="17" borderId="0" xfId="0" applyNumberFormat="1" applyFill="1" applyBorder="1" applyAlignment="1">
      <alignment horizontal="center"/>
    </xf>
    <xf numFmtId="4" fontId="0" fillId="17" borderId="0" xfId="0" applyNumberFormat="1" applyFill="1" applyBorder="1" applyAlignment="1">
      <alignment/>
    </xf>
    <xf numFmtId="3" fontId="0" fillId="17" borderId="0" xfId="0" applyNumberFormat="1" applyFill="1" applyBorder="1" applyAlignment="1">
      <alignment horizontal="center"/>
    </xf>
    <xf numFmtId="0" fontId="0" fillId="0" borderId="30" xfId="0" applyBorder="1" applyAlignment="1">
      <alignment wrapText="1"/>
    </xf>
    <xf numFmtId="4" fontId="2" fillId="0" borderId="3" xfId="0" applyNumberFormat="1" applyFont="1" applyBorder="1" applyAlignment="1">
      <alignment/>
    </xf>
    <xf numFmtId="2" fontId="2" fillId="17" borderId="0" xfId="0" applyNumberFormat="1" applyFont="1" applyFill="1" applyAlignment="1">
      <alignment/>
    </xf>
    <xf numFmtId="0" fontId="8" fillId="0" borderId="0" xfId="0" applyFont="1" applyAlignment="1">
      <alignment/>
    </xf>
    <xf numFmtId="8" fontId="9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Alignment="1" quotePrefix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 quotePrefix="1">
      <alignment/>
    </xf>
    <xf numFmtId="0" fontId="2" fillId="0" borderId="0" xfId="0" applyFont="1" applyFill="1" applyBorder="1" applyAlignment="1">
      <alignment/>
    </xf>
    <xf numFmtId="0" fontId="0" fillId="17" borderId="0" xfId="0" applyFill="1" applyAlignment="1">
      <alignment horizontal="right"/>
    </xf>
    <xf numFmtId="0" fontId="82" fillId="21" borderId="0" xfId="0" applyFont="1" applyFill="1" applyAlignment="1">
      <alignment/>
    </xf>
    <xf numFmtId="0" fontId="83" fillId="21" borderId="0" xfId="0" applyFont="1" applyFill="1" applyAlignment="1">
      <alignment/>
    </xf>
    <xf numFmtId="0" fontId="52" fillId="21" borderId="0" xfId="0" applyFont="1" applyFill="1" applyAlignment="1">
      <alignment/>
    </xf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0" fillId="22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Border="1" applyAlignment="1">
      <alignment wrapText="1"/>
    </xf>
    <xf numFmtId="4" fontId="2" fillId="0" borderId="0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22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 horizontal="right" vertical="top" wrapText="1"/>
    </xf>
    <xf numFmtId="0" fontId="84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4" fontId="0" fillId="0" borderId="28" xfId="0" applyNumberFormat="1" applyBorder="1" applyAlignment="1">
      <alignment/>
    </xf>
    <xf numFmtId="166" fontId="0" fillId="0" borderId="28" xfId="58" applyNumberFormat="1" applyFont="1" applyBorder="1" applyAlignment="1">
      <alignment/>
    </xf>
    <xf numFmtId="0" fontId="2" fillId="6" borderId="0" xfId="0" applyFont="1" applyFill="1" applyAlignment="1">
      <alignment/>
    </xf>
    <xf numFmtId="9" fontId="0" fillId="0" borderId="0" xfId="174" applyNumberFormat="1" applyFont="1" applyAlignment="1">
      <alignment/>
    </xf>
    <xf numFmtId="4" fontId="2" fillId="0" borderId="28" xfId="0" applyNumberFormat="1" applyFont="1" applyBorder="1" applyAlignment="1">
      <alignment/>
    </xf>
    <xf numFmtId="1" fontId="0" fillId="17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17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2" fillId="0" borderId="34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171" fontId="0" fillId="6" borderId="0" xfId="174" applyNumberFormat="1" applyFont="1" applyFill="1" applyAlignment="1">
      <alignment/>
    </xf>
    <xf numFmtId="0" fontId="0" fillId="6" borderId="0" xfId="0" applyFill="1" applyAlignment="1">
      <alignment/>
    </xf>
    <xf numFmtId="0" fontId="85" fillId="0" borderId="0" xfId="0" applyFont="1" applyAlignment="1">
      <alignment/>
    </xf>
    <xf numFmtId="165" fontId="85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224" fontId="0" fillId="0" borderId="0" xfId="0" applyNumberFormat="1" applyFill="1" applyBorder="1" applyAlignment="1">
      <alignment/>
    </xf>
    <xf numFmtId="0" fontId="87" fillId="0" borderId="0" xfId="0" applyFont="1" applyAlignment="1">
      <alignment/>
    </xf>
    <xf numFmtId="0" fontId="86" fillId="0" borderId="35" xfId="0" applyFont="1" applyBorder="1" applyAlignment="1">
      <alignment vertical="top" wrapText="1"/>
    </xf>
    <xf numFmtId="0" fontId="86" fillId="0" borderId="35" xfId="0" applyFont="1" applyBorder="1" applyAlignment="1">
      <alignment horizontal="center" vertical="top" wrapText="1"/>
    </xf>
    <xf numFmtId="0" fontId="89" fillId="0" borderId="36" xfId="0" applyFont="1" applyBorder="1" applyAlignment="1">
      <alignment vertical="top" wrapText="1"/>
    </xf>
    <xf numFmtId="0" fontId="87" fillId="0" borderId="0" xfId="0" applyFont="1" applyFill="1" applyBorder="1" applyAlignment="1">
      <alignment/>
    </xf>
    <xf numFmtId="0" fontId="86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justify" vertical="top" wrapText="1"/>
    </xf>
    <xf numFmtId="0" fontId="19" fillId="0" borderId="0" xfId="0" applyFont="1" applyFill="1" applyBorder="1" applyAlignment="1">
      <alignment horizontal="center" vertical="top" wrapText="1"/>
    </xf>
    <xf numFmtId="4" fontId="86" fillId="0" borderId="0" xfId="0" applyNumberFormat="1" applyFont="1" applyFill="1" applyBorder="1" applyAlignment="1">
      <alignment horizontal="center" vertical="top" wrapText="1"/>
    </xf>
    <xf numFmtId="0" fontId="89" fillId="0" borderId="0" xfId="0" applyFont="1" applyFill="1" applyBorder="1" applyAlignment="1">
      <alignment vertical="top" wrapText="1"/>
    </xf>
    <xf numFmtId="0" fontId="89" fillId="0" borderId="0" xfId="0" applyFont="1" applyFill="1" applyBorder="1" applyAlignment="1">
      <alignment horizontal="center" vertical="top" wrapText="1"/>
    </xf>
    <xf numFmtId="0" fontId="90" fillId="0" borderId="0" xfId="0" applyFont="1" applyFill="1" applyBorder="1" applyAlignment="1">
      <alignment vertical="top" wrapText="1"/>
    </xf>
    <xf numFmtId="0" fontId="91" fillId="0" borderId="0" xfId="0" applyFont="1" applyFill="1" applyBorder="1" applyAlignment="1">
      <alignment vertical="top" wrapText="1"/>
    </xf>
    <xf numFmtId="0" fontId="9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64" fillId="0" borderId="0" xfId="0" applyFont="1" applyFill="1" applyBorder="1" applyAlignment="1">
      <alignment wrapText="1"/>
    </xf>
    <xf numFmtId="0" fontId="90" fillId="0" borderId="0" xfId="0" applyFont="1" applyFill="1" applyBorder="1" applyAlignment="1">
      <alignment horizontal="center" vertical="top" wrapText="1"/>
    </xf>
    <xf numFmtId="0" fontId="86" fillId="0" borderId="0" xfId="0" applyFont="1" applyAlignment="1">
      <alignment/>
    </xf>
    <xf numFmtId="0" fontId="89" fillId="0" borderId="35" xfId="0" applyFont="1" applyBorder="1" applyAlignment="1">
      <alignment vertical="top" wrapText="1"/>
    </xf>
    <xf numFmtId="0" fontId="89" fillId="0" borderId="35" xfId="0" applyFont="1" applyBorder="1" applyAlignment="1">
      <alignment horizontal="center" vertical="top" wrapText="1"/>
    </xf>
    <xf numFmtId="0" fontId="89" fillId="0" borderId="0" xfId="0" applyFont="1" applyAlignment="1">
      <alignment/>
    </xf>
    <xf numFmtId="0" fontId="89" fillId="0" borderId="28" xfId="0" applyFont="1" applyBorder="1" applyAlignment="1">
      <alignment horizontal="center" wrapText="1"/>
    </xf>
    <xf numFmtId="0" fontId="87" fillId="0" borderId="0" xfId="0" applyFont="1" applyAlignment="1">
      <alignment readingOrder="1"/>
    </xf>
    <xf numFmtId="0" fontId="89" fillId="0" borderId="13" xfId="0" applyFont="1" applyBorder="1" applyAlignment="1">
      <alignment horizontal="center" vertical="top" wrapText="1"/>
    </xf>
    <xf numFmtId="0" fontId="90" fillId="0" borderId="13" xfId="0" applyFont="1" applyFill="1" applyBorder="1" applyAlignment="1">
      <alignment vertical="top" wrapText="1"/>
    </xf>
    <xf numFmtId="0" fontId="19" fillId="0" borderId="13" xfId="0" applyFont="1" applyFill="1" applyBorder="1" applyAlignment="1">
      <alignment horizontal="justify" vertical="top" wrapText="1"/>
    </xf>
    <xf numFmtId="0" fontId="89" fillId="0" borderId="13" xfId="0" applyFont="1" applyBorder="1" applyAlignment="1">
      <alignment/>
    </xf>
    <xf numFmtId="0" fontId="90" fillId="0" borderId="13" xfId="0" applyFont="1" applyBorder="1" applyAlignment="1">
      <alignment vertical="top" wrapText="1"/>
    </xf>
    <xf numFmtId="0" fontId="89" fillId="0" borderId="13" xfId="0" applyFont="1" applyBorder="1" applyAlignment="1">
      <alignment horizontal="justify" vertical="top" wrapText="1"/>
    </xf>
    <xf numFmtId="0" fontId="89" fillId="0" borderId="36" xfId="0" applyFont="1" applyBorder="1" applyAlignment="1">
      <alignment horizontal="center" vertical="top" wrapText="1"/>
    </xf>
    <xf numFmtId="0" fontId="89" fillId="0" borderId="37" xfId="0" applyFont="1" applyBorder="1" applyAlignment="1">
      <alignment/>
    </xf>
    <xf numFmtId="0" fontId="90" fillId="0" borderId="37" xfId="0" applyFont="1" applyFill="1" applyBorder="1" applyAlignment="1">
      <alignment vertical="top" wrapText="1"/>
    </xf>
    <xf numFmtId="0" fontId="90" fillId="0" borderId="26" xfId="0" applyFont="1" applyFill="1" applyBorder="1" applyAlignment="1">
      <alignment vertical="top" wrapText="1"/>
    </xf>
    <xf numFmtId="0" fontId="90" fillId="0" borderId="12" xfId="0" applyFont="1" applyFill="1" applyBorder="1" applyAlignment="1">
      <alignment vertical="top" wrapText="1"/>
    </xf>
    <xf numFmtId="0" fontId="86" fillId="0" borderId="13" xfId="0" applyFont="1" applyBorder="1" applyAlignment="1">
      <alignment/>
    </xf>
    <xf numFmtId="0" fontId="19" fillId="0" borderId="13" xfId="0" applyFont="1" applyBorder="1" applyAlignment="1">
      <alignment horizontal="justify" vertical="top" wrapText="1"/>
    </xf>
    <xf numFmtId="4" fontId="86" fillId="0" borderId="13" xfId="0" applyNumberFormat="1" applyFont="1" applyFill="1" applyBorder="1" applyAlignment="1">
      <alignment horizontal="center" vertical="top" wrapText="1"/>
    </xf>
    <xf numFmtId="0" fontId="86" fillId="0" borderId="13" xfId="0" applyFont="1" applyBorder="1" applyAlignment="1">
      <alignment horizontal="justify" vertical="top" wrapText="1"/>
    </xf>
    <xf numFmtId="4" fontId="86" fillId="0" borderId="13" xfId="0" applyNumberFormat="1" applyFont="1" applyBorder="1" applyAlignment="1">
      <alignment horizontal="center" vertical="top" wrapText="1"/>
    </xf>
    <xf numFmtId="0" fontId="90" fillId="0" borderId="13" xfId="0" applyFont="1" applyBorder="1" applyAlignment="1">
      <alignment horizontal="justify" vertical="top" wrapText="1"/>
    </xf>
    <xf numFmtId="0" fontId="89" fillId="0" borderId="13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91" fillId="6" borderId="13" xfId="0" applyFont="1" applyFill="1" applyBorder="1" applyAlignment="1">
      <alignment vertical="top" wrapText="1"/>
    </xf>
    <xf numFmtId="0" fontId="90" fillId="6" borderId="13" xfId="0" applyFont="1" applyFill="1" applyBorder="1" applyAlignment="1">
      <alignment vertical="top" wrapText="1"/>
    </xf>
    <xf numFmtId="0" fontId="86" fillId="0" borderId="36" xfId="0" applyFont="1" applyBorder="1" applyAlignment="1">
      <alignment vertical="top" wrapText="1"/>
    </xf>
    <xf numFmtId="0" fontId="86" fillId="0" borderId="36" xfId="0" applyFont="1" applyBorder="1" applyAlignment="1">
      <alignment horizontal="center" vertical="top" wrapText="1"/>
    </xf>
    <xf numFmtId="0" fontId="89" fillId="0" borderId="12" xfId="0" applyFont="1" applyFill="1" applyBorder="1" applyAlignment="1">
      <alignment vertical="top" wrapText="1"/>
    </xf>
    <xf numFmtId="0" fontId="87" fillId="0" borderId="12" xfId="0" applyFont="1" applyFill="1" applyBorder="1" applyAlignment="1">
      <alignment vertical="top" wrapText="1"/>
    </xf>
    <xf numFmtId="0" fontId="19" fillId="0" borderId="12" xfId="0" applyFont="1" applyFill="1" applyBorder="1" applyAlignment="1">
      <alignment horizontal="justify" vertical="top" wrapText="1"/>
    </xf>
    <xf numFmtId="0" fontId="86" fillId="0" borderId="28" xfId="0" applyFont="1" applyBorder="1" applyAlignment="1">
      <alignment horizontal="center" vertical="top" wrapText="1"/>
    </xf>
    <xf numFmtId="0" fontId="89" fillId="0" borderId="0" xfId="0" applyFont="1" applyBorder="1" applyAlignment="1">
      <alignment vertical="top" wrapText="1"/>
    </xf>
    <xf numFmtId="0" fontId="8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2" fillId="0" borderId="28" xfId="0" applyFont="1" applyBorder="1" applyAlignment="1">
      <alignment horizontal="center" wrapText="1"/>
    </xf>
    <xf numFmtId="225" fontId="0" fillId="7" borderId="0" xfId="58" applyNumberFormat="1" applyFont="1" applyFill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2" fontId="90" fillId="0" borderId="13" xfId="0" applyNumberFormat="1" applyFont="1" applyBorder="1" applyAlignment="1">
      <alignment vertical="top" wrapText="1"/>
    </xf>
    <xf numFmtId="4" fontId="90" fillId="0" borderId="13" xfId="0" applyNumberFormat="1" applyFont="1" applyBorder="1" applyAlignment="1">
      <alignment vertical="top" wrapText="1"/>
    </xf>
    <xf numFmtId="2" fontId="89" fillId="0" borderId="13" xfId="0" applyNumberFormat="1" applyFont="1" applyBorder="1" applyAlignment="1">
      <alignment vertical="top" wrapText="1"/>
    </xf>
    <xf numFmtId="224" fontId="0" fillId="0" borderId="13" xfId="0" applyNumberFormat="1" applyFill="1" applyBorder="1" applyAlignment="1">
      <alignment/>
    </xf>
    <xf numFmtId="224" fontId="2" fillId="0" borderId="13" xfId="0" applyNumberFormat="1" applyFont="1" applyFill="1" applyBorder="1" applyAlignment="1">
      <alignment/>
    </xf>
    <xf numFmtId="4" fontId="86" fillId="0" borderId="12" xfId="0" applyNumberFormat="1" applyFont="1" applyFill="1" applyBorder="1" applyAlignment="1">
      <alignment horizontal="center" vertical="top" wrapText="1"/>
    </xf>
    <xf numFmtId="0" fontId="86" fillId="0" borderId="12" xfId="0" applyFont="1" applyFill="1" applyBorder="1" applyAlignment="1">
      <alignment horizontal="justify" vertical="top" wrapText="1"/>
    </xf>
    <xf numFmtId="2" fontId="19" fillId="0" borderId="13" xfId="0" applyNumberFormat="1" applyFont="1" applyFill="1" applyBorder="1" applyAlignment="1">
      <alignment vertical="top" wrapText="1"/>
    </xf>
    <xf numFmtId="2" fontId="89" fillId="0" borderId="13" xfId="0" applyNumberFormat="1" applyFont="1" applyFill="1" applyBorder="1" applyAlignment="1">
      <alignment vertical="top" wrapText="1"/>
    </xf>
    <xf numFmtId="0" fontId="90" fillId="0" borderId="12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/>
    </xf>
    <xf numFmtId="43" fontId="0" fillId="0" borderId="0" xfId="58" applyNumberFormat="1" applyFont="1" applyAlignment="1">
      <alignment/>
    </xf>
    <xf numFmtId="4" fontId="2" fillId="7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2" fontId="90" fillId="0" borderId="13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89" fillId="0" borderId="36" xfId="0" applyFont="1" applyFill="1" applyBorder="1" applyAlignment="1">
      <alignment horizontal="center" vertical="top" wrapText="1"/>
    </xf>
    <xf numFmtId="2" fontId="19" fillId="0" borderId="13" xfId="0" applyNumberFormat="1" applyFont="1" applyBorder="1" applyAlignment="1">
      <alignment horizontal="center" vertical="top" wrapText="1"/>
    </xf>
    <xf numFmtId="2" fontId="86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3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8" xfId="0" applyFont="1" applyBorder="1" applyAlignment="1">
      <alignment horizontal="right" vertical="top" wrapText="1"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" fillId="0" borderId="3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3" xfId="0" applyFont="1" applyBorder="1" applyAlignment="1">
      <alignment horizontal="right" vertical="top" wrapText="1"/>
    </xf>
    <xf numFmtId="0" fontId="0" fillId="0" borderId="0" xfId="0" applyFont="1" applyAlignment="1">
      <alignment horizontal="left" indent="5"/>
    </xf>
    <xf numFmtId="10" fontId="0" fillId="0" borderId="32" xfId="0" applyNumberFormat="1" applyFont="1" applyBorder="1" applyAlignment="1">
      <alignment horizontal="right" vertical="top" wrapText="1"/>
    </xf>
    <xf numFmtId="0" fontId="0" fillId="0" borderId="30" xfId="0" applyFont="1" applyBorder="1" applyAlignment="1">
      <alignment vertical="top" wrapText="1"/>
    </xf>
    <xf numFmtId="10" fontId="0" fillId="0" borderId="33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90" fillId="0" borderId="13" xfId="0" applyFont="1" applyFill="1" applyBorder="1" applyAlignment="1">
      <alignment horizontal="center" vertical="top" wrapText="1"/>
    </xf>
    <xf numFmtId="0" fontId="89" fillId="0" borderId="28" xfId="0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/>
    </xf>
    <xf numFmtId="2" fontId="90" fillId="0" borderId="13" xfId="0" applyNumberFormat="1" applyFont="1" applyFill="1" applyBorder="1" applyAlignment="1">
      <alignment horizontal="center" vertical="top" wrapText="1"/>
    </xf>
    <xf numFmtId="2" fontId="90" fillId="6" borderId="13" xfId="0" applyNumberFormat="1" applyFont="1" applyFill="1" applyBorder="1" applyAlignment="1">
      <alignment horizontal="center" vertical="top" wrapText="1"/>
    </xf>
    <xf numFmtId="2" fontId="89" fillId="0" borderId="13" xfId="0" applyNumberFormat="1" applyFont="1" applyBorder="1" applyAlignment="1">
      <alignment horizontal="center" vertical="top" wrapText="1"/>
    </xf>
    <xf numFmtId="4" fontId="90" fillId="0" borderId="13" xfId="0" applyNumberFormat="1" applyFont="1" applyBorder="1" applyAlignment="1">
      <alignment horizontal="center" vertical="top" wrapText="1"/>
    </xf>
    <xf numFmtId="4" fontId="89" fillId="0" borderId="1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89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Border="1" applyAlignment="1">
      <alignment/>
    </xf>
    <xf numFmtId="0" fontId="93" fillId="0" borderId="28" xfId="0" applyFont="1" applyBorder="1" applyAlignment="1">
      <alignment/>
    </xf>
    <xf numFmtId="0" fontId="93" fillId="0" borderId="0" xfId="0" applyFont="1" applyAlignment="1">
      <alignment/>
    </xf>
    <xf numFmtId="0" fontId="93" fillId="0" borderId="3" xfId="0" applyFont="1" applyBorder="1" applyAlignment="1">
      <alignment vertical="top"/>
    </xf>
    <xf numFmtId="0" fontId="93" fillId="0" borderId="3" xfId="0" applyFont="1" applyBorder="1" applyAlignment="1">
      <alignment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10" fontId="0" fillId="0" borderId="29" xfId="0" applyNumberFormat="1" applyFont="1" applyBorder="1" applyAlignment="1">
      <alignment horizontal="right" vertical="top" wrapText="1"/>
    </xf>
    <xf numFmtId="2" fontId="0" fillId="0" borderId="12" xfId="0" applyNumberFormat="1" applyFill="1" applyBorder="1" applyAlignment="1">
      <alignment/>
    </xf>
    <xf numFmtId="2" fontId="0" fillId="0" borderId="23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10" fontId="0" fillId="0" borderId="0" xfId="0" applyNumberFormat="1" applyFont="1" applyFill="1" applyAlignment="1">
      <alignment/>
    </xf>
    <xf numFmtId="6" fontId="96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169" fontId="96" fillId="0" borderId="0" xfId="58" applyNumberFormat="1" applyFont="1" applyAlignment="1">
      <alignment/>
    </xf>
    <xf numFmtId="169" fontId="96" fillId="0" borderId="0" xfId="0" applyNumberFormat="1" applyFont="1" applyAlignment="1">
      <alignment/>
    </xf>
    <xf numFmtId="6" fontId="2" fillId="0" borderId="31" xfId="0" applyNumberFormat="1" applyFont="1" applyFill="1" applyBorder="1" applyAlignment="1">
      <alignment/>
    </xf>
    <xf numFmtId="226" fontId="0" fillId="0" borderId="0" xfId="0" applyNumberFormat="1" applyBorder="1" applyAlignment="1">
      <alignment/>
    </xf>
    <xf numFmtId="226" fontId="0" fillId="0" borderId="32" xfId="0" applyNumberFormat="1" applyBorder="1" applyAlignment="1">
      <alignment/>
    </xf>
    <xf numFmtId="6" fontId="2" fillId="0" borderId="30" xfId="0" applyNumberFormat="1" applyFont="1" applyFill="1" applyBorder="1" applyAlignment="1">
      <alignment/>
    </xf>
    <xf numFmtId="226" fontId="0" fillId="0" borderId="3" xfId="0" applyNumberFormat="1" applyBorder="1" applyAlignment="1">
      <alignment/>
    </xf>
    <xf numFmtId="226" fontId="0" fillId="0" borderId="33" xfId="0" applyNumberFormat="1" applyBorder="1" applyAlignment="1">
      <alignment/>
    </xf>
    <xf numFmtId="0" fontId="2" fillId="6" borderId="34" xfId="0" applyFont="1" applyFill="1" applyBorder="1" applyAlignment="1">
      <alignment horizontal="left"/>
    </xf>
    <xf numFmtId="169" fontId="0" fillId="6" borderId="10" xfId="58" applyNumberFormat="1" applyFont="1" applyFill="1" applyBorder="1" applyAlignment="1">
      <alignment/>
    </xf>
    <xf numFmtId="169" fontId="0" fillId="6" borderId="10" xfId="0" applyNumberFormat="1" applyFill="1" applyBorder="1" applyAlignment="1">
      <alignment/>
    </xf>
    <xf numFmtId="169" fontId="0" fillId="6" borderId="38" xfId="0" applyNumberFormat="1" applyFill="1" applyBorder="1" applyAlignment="1">
      <alignment/>
    </xf>
    <xf numFmtId="3" fontId="0" fillId="0" borderId="32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6" borderId="38" xfId="0" applyFill="1" applyBorder="1" applyAlignment="1">
      <alignment/>
    </xf>
    <xf numFmtId="4" fontId="90" fillId="0" borderId="0" xfId="0" applyNumberFormat="1" applyFont="1" applyAlignment="1">
      <alignment horizontal="center" vertical="top" wrapText="1"/>
    </xf>
    <xf numFmtId="4" fontId="89" fillId="0" borderId="0" xfId="0" applyNumberFormat="1" applyFont="1" applyAlignment="1">
      <alignment horizontal="center" vertical="top" wrapText="1"/>
    </xf>
    <xf numFmtId="0" fontId="0" fillId="0" borderId="34" xfId="0" applyBorder="1" applyAlignment="1">
      <alignment/>
    </xf>
    <xf numFmtId="2" fontId="0" fillId="0" borderId="34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38" xfId="0" applyNumberFormat="1" applyBorder="1" applyAlignment="1">
      <alignment/>
    </xf>
    <xf numFmtId="0" fontId="89" fillId="0" borderId="3" xfId="0" applyFont="1" applyBorder="1" applyAlignment="1">
      <alignment vertical="top" wrapText="1"/>
    </xf>
    <xf numFmtId="4" fontId="89" fillId="0" borderId="3" xfId="0" applyNumberFormat="1" applyFont="1" applyBorder="1" applyAlignment="1">
      <alignment horizontal="center" vertical="top" wrapText="1"/>
    </xf>
    <xf numFmtId="0" fontId="89" fillId="0" borderId="26" xfId="0" applyFont="1" applyFill="1" applyBorder="1" applyAlignment="1">
      <alignment horizontal="center" vertical="top" wrapText="1"/>
    </xf>
    <xf numFmtId="165" fontId="2" fillId="0" borderId="32" xfId="0" applyNumberFormat="1" applyFont="1" applyFill="1" applyBorder="1" applyAlignment="1">
      <alignment/>
    </xf>
    <xf numFmtId="165" fontId="2" fillId="0" borderId="33" xfId="0" applyNumberFormat="1" applyFont="1" applyFill="1" applyBorder="1" applyAlignment="1">
      <alignment/>
    </xf>
    <xf numFmtId="167" fontId="0" fillId="0" borderId="31" xfId="0" applyNumberFormat="1" applyBorder="1" applyAlignment="1">
      <alignment/>
    </xf>
    <xf numFmtId="167" fontId="0" fillId="0" borderId="0" xfId="0" applyNumberFormat="1" applyBorder="1" applyAlignment="1">
      <alignment/>
    </xf>
    <xf numFmtId="168" fontId="0" fillId="0" borderId="0" xfId="58" applyNumberFormat="1" applyFont="1" applyFill="1" applyBorder="1" applyAlignment="1">
      <alignment/>
    </xf>
    <xf numFmtId="168" fontId="0" fillId="0" borderId="0" xfId="58" applyNumberFormat="1" applyFont="1" applyBorder="1" applyAlignment="1">
      <alignment/>
    </xf>
    <xf numFmtId="168" fontId="0" fillId="0" borderId="32" xfId="58" applyNumberFormat="1" applyFont="1" applyBorder="1" applyAlignment="1">
      <alignment/>
    </xf>
    <xf numFmtId="0" fontId="0" fillId="0" borderId="31" xfId="0" applyBorder="1" applyAlignment="1">
      <alignment/>
    </xf>
    <xf numFmtId="168" fontId="0" fillId="0" borderId="3" xfId="58" applyNumberFormat="1" applyFont="1" applyFill="1" applyBorder="1" applyAlignment="1">
      <alignment/>
    </xf>
    <xf numFmtId="168" fontId="0" fillId="0" borderId="33" xfId="58" applyNumberFormat="1" applyFont="1" applyFill="1" applyBorder="1" applyAlignment="1">
      <alignment/>
    </xf>
    <xf numFmtId="10" fontId="2" fillId="6" borderId="34" xfId="174" applyNumberFormat="1" applyFont="1" applyFill="1" applyBorder="1" applyAlignment="1">
      <alignment/>
    </xf>
    <xf numFmtId="10" fontId="2" fillId="6" borderId="10" xfId="174" applyNumberFormat="1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2" fillId="6" borderId="38" xfId="0" applyFont="1" applyFill="1" applyBorder="1" applyAlignment="1">
      <alignment/>
    </xf>
    <xf numFmtId="168" fontId="0" fillId="0" borderId="32" xfId="58" applyNumberFormat="1" applyFont="1" applyFill="1" applyBorder="1" applyAlignment="1">
      <alignment/>
    </xf>
    <xf numFmtId="168" fontId="0" fillId="0" borderId="33" xfId="0" applyNumberFormat="1" applyBorder="1" applyAlignment="1">
      <alignment/>
    </xf>
    <xf numFmtId="0" fontId="2" fillId="6" borderId="34" xfId="0" applyFont="1" applyFill="1" applyBorder="1" applyAlignment="1">
      <alignment/>
    </xf>
    <xf numFmtId="10" fontId="0" fillId="17" borderId="32" xfId="0" applyNumberFormat="1" applyFont="1" applyFill="1" applyBorder="1" applyAlignment="1">
      <alignment horizontal="right" vertical="top" wrapText="1"/>
    </xf>
    <xf numFmtId="0" fontId="0" fillId="17" borderId="32" xfId="0" applyFont="1" applyFill="1" applyBorder="1" applyAlignment="1">
      <alignment horizontal="right" vertical="top" wrapText="1"/>
    </xf>
    <xf numFmtId="10" fontId="0" fillId="17" borderId="33" xfId="0" applyNumberFormat="1" applyFont="1" applyFill="1" applyBorder="1" applyAlignment="1">
      <alignment horizontal="right" vertical="top" wrapText="1"/>
    </xf>
    <xf numFmtId="10" fontId="19" fillId="0" borderId="13" xfId="174" applyNumberFormat="1" applyFont="1" applyBorder="1" applyAlignment="1">
      <alignment horizontal="center" wrapText="1"/>
    </xf>
    <xf numFmtId="2" fontId="89" fillId="0" borderId="13" xfId="0" applyNumberFormat="1" applyFont="1" applyFill="1" applyBorder="1" applyAlignment="1">
      <alignment horizontal="center" vertical="top" wrapText="1"/>
    </xf>
    <xf numFmtId="4" fontId="19" fillId="0" borderId="13" xfId="0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center" vertical="top" wrapText="1"/>
    </xf>
    <xf numFmtId="2" fontId="19" fillId="0" borderId="13" xfId="0" applyNumberFormat="1" applyFont="1" applyFill="1" applyBorder="1" applyAlignment="1">
      <alignment horizontal="center" vertical="top" wrapText="1"/>
    </xf>
    <xf numFmtId="2" fontId="89" fillId="0" borderId="26" xfId="0" applyNumberFormat="1" applyFont="1" applyFill="1" applyBorder="1" applyAlignment="1">
      <alignment horizontal="center" vertical="top" wrapText="1"/>
    </xf>
    <xf numFmtId="0" fontId="87" fillId="0" borderId="0" xfId="0" applyFont="1" applyFill="1" applyAlignment="1">
      <alignment horizontal="left" indent="4"/>
    </xf>
    <xf numFmtId="0" fontId="89" fillId="0" borderId="35" xfId="0" applyFont="1" applyFill="1" applyBorder="1" applyAlignment="1">
      <alignment vertical="top" wrapText="1"/>
    </xf>
    <xf numFmtId="0" fontId="89" fillId="0" borderId="35" xfId="0" applyFont="1" applyFill="1" applyBorder="1" applyAlignment="1">
      <alignment horizontal="center" vertical="top" wrapText="1"/>
    </xf>
    <xf numFmtId="0" fontId="92" fillId="0" borderId="0" xfId="0" applyFont="1" applyFill="1" applyAlignment="1">
      <alignment/>
    </xf>
    <xf numFmtId="0" fontId="90" fillId="0" borderId="8" xfId="0" applyFont="1" applyFill="1" applyBorder="1" applyAlignment="1">
      <alignment vertical="top" wrapText="1"/>
    </xf>
    <xf numFmtId="0" fontId="87" fillId="0" borderId="0" xfId="0" applyFont="1" applyFill="1" applyAlignment="1">
      <alignment/>
    </xf>
    <xf numFmtId="0" fontId="90" fillId="0" borderId="39" xfId="0" applyFont="1" applyFill="1" applyBorder="1" applyAlignment="1">
      <alignment vertical="top" wrapText="1"/>
    </xf>
    <xf numFmtId="224" fontId="90" fillId="0" borderId="38" xfId="0" applyNumberFormat="1" applyFont="1" applyFill="1" applyBorder="1" applyAlignment="1">
      <alignment horizontal="center" vertical="top" wrapText="1"/>
    </xf>
    <xf numFmtId="224" fontId="90" fillId="0" borderId="33" xfId="0" applyNumberFormat="1" applyFont="1" applyFill="1" applyBorder="1" applyAlignment="1">
      <alignment horizontal="center" vertical="top" wrapText="1"/>
    </xf>
    <xf numFmtId="224" fontId="89" fillId="0" borderId="0" xfId="0" applyNumberFormat="1" applyFont="1" applyFill="1" applyBorder="1" applyAlignment="1">
      <alignment horizontal="center" vertical="top" wrapText="1"/>
    </xf>
    <xf numFmtId="1" fontId="19" fillId="0" borderId="13" xfId="0" applyNumberFormat="1" applyFont="1" applyBorder="1" applyAlignment="1">
      <alignment horizontal="center" vertical="top" wrapText="1"/>
    </xf>
    <xf numFmtId="0" fontId="82" fillId="0" borderId="0" xfId="0" applyFont="1" applyFill="1" applyAlignment="1">
      <alignment/>
    </xf>
    <xf numFmtId="0" fontId="87" fillId="0" borderId="0" xfId="0" applyFont="1" applyAlignment="1">
      <alignment/>
    </xf>
    <xf numFmtId="0" fontId="86" fillId="0" borderId="0" xfId="0" applyFont="1" applyAlignment="1">
      <alignment/>
    </xf>
    <xf numFmtId="0" fontId="90" fillId="0" borderId="28" xfId="0" applyFont="1" applyFill="1" applyBorder="1" applyAlignment="1">
      <alignment vertical="top" wrapText="1"/>
    </xf>
    <xf numFmtId="0" fontId="90" fillId="0" borderId="13" xfId="0" applyFont="1" applyFill="1" applyBorder="1" applyAlignment="1">
      <alignment wrapText="1"/>
    </xf>
    <xf numFmtId="224" fontId="90" fillId="0" borderId="13" xfId="0" applyNumberFormat="1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90" fillId="0" borderId="13" xfId="0" applyFont="1" applyFill="1" applyBorder="1" applyAlignment="1">
      <alignment horizontal="center" wrapText="1"/>
    </xf>
    <xf numFmtId="0" fontId="90" fillId="0" borderId="38" xfId="0" applyFont="1" applyFill="1" applyBorder="1" applyAlignment="1">
      <alignment horizontal="center" vertical="top" wrapText="1"/>
    </xf>
    <xf numFmtId="0" fontId="2" fillId="0" borderId="3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38" xfId="0" applyFont="1" applyBorder="1" applyAlignment="1">
      <alignment horizontal="right" vertical="top" wrapText="1"/>
    </xf>
    <xf numFmtId="0" fontId="0" fillId="0" borderId="27" xfId="0" applyFont="1" applyBorder="1" applyAlignment="1">
      <alignment vertical="top" wrapText="1"/>
    </xf>
    <xf numFmtId="0" fontId="0" fillId="0" borderId="29" xfId="0" applyFont="1" applyBorder="1" applyAlignment="1">
      <alignment horizontal="right" vertical="top" wrapText="1"/>
    </xf>
    <xf numFmtId="0" fontId="0" fillId="0" borderId="31" xfId="0" applyFont="1" applyBorder="1" applyAlignment="1">
      <alignment vertical="top" wrapText="1"/>
    </xf>
    <xf numFmtId="10" fontId="0" fillId="0" borderId="32" xfId="0" applyNumberFormat="1" applyFont="1" applyFill="1" applyBorder="1" applyAlignment="1">
      <alignment horizontal="right" vertical="top" wrapText="1"/>
    </xf>
    <xf numFmtId="0" fontId="0" fillId="0" borderId="31" xfId="0" applyFont="1" applyFill="1" applyBorder="1" applyAlignment="1">
      <alignment vertical="top" wrapText="1"/>
    </xf>
    <xf numFmtId="0" fontId="98" fillId="0" borderId="0" xfId="0" applyFont="1" applyFill="1" applyBorder="1" applyAlignment="1">
      <alignment vertical="top" wrapText="1"/>
    </xf>
    <xf numFmtId="4" fontId="0" fillId="0" borderId="32" xfId="0" applyNumberFormat="1" applyFont="1" applyFill="1" applyBorder="1" applyAlignment="1">
      <alignment horizontal="right" vertical="top" wrapText="1"/>
    </xf>
    <xf numFmtId="0" fontId="0" fillId="0" borderId="3" xfId="0" applyFont="1" applyBorder="1" applyAlignment="1">
      <alignment vertical="top" wrapText="1"/>
    </xf>
    <xf numFmtId="10" fontId="0" fillId="0" borderId="3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3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38" xfId="0" applyFont="1" applyFill="1" applyBorder="1" applyAlignment="1">
      <alignment horizontal="right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right" vertical="top" wrapText="1"/>
    </xf>
    <xf numFmtId="0" fontId="84" fillId="0" borderId="3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32" xfId="0" applyFont="1" applyBorder="1" applyAlignment="1">
      <alignment horizontal="right" vertical="top" wrapText="1"/>
    </xf>
    <xf numFmtId="0" fontId="84" fillId="0" borderId="31" xfId="0" applyFont="1" applyBorder="1" applyAlignment="1">
      <alignment vertical="top" wrapText="1"/>
    </xf>
    <xf numFmtId="0" fontId="0" fillId="0" borderId="32" xfId="0" applyFont="1" applyFill="1" applyBorder="1" applyAlignment="1">
      <alignment horizontal="right" vertical="top" wrapText="1"/>
    </xf>
    <xf numFmtId="0" fontId="0" fillId="0" borderId="30" xfId="0" applyFont="1" applyBorder="1" applyAlignment="1">
      <alignment vertical="top" wrapText="1"/>
    </xf>
    <xf numFmtId="10" fontId="0" fillId="0" borderId="33" xfId="0" applyNumberFormat="1" applyFont="1" applyFill="1" applyBorder="1" applyAlignment="1">
      <alignment horizontal="right" vertical="top" wrapText="1"/>
    </xf>
    <xf numFmtId="0" fontId="2" fillId="0" borderId="30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3" xfId="0" applyFont="1" applyBorder="1" applyAlignment="1">
      <alignment horizontal="right" vertical="top" wrapText="1"/>
    </xf>
    <xf numFmtId="0" fontId="0" fillId="0" borderId="28" xfId="0" applyFont="1" applyBorder="1" applyAlignment="1">
      <alignment vertical="top" wrapText="1"/>
    </xf>
    <xf numFmtId="0" fontId="84" fillId="0" borderId="30" xfId="0" applyFont="1" applyBorder="1" applyAlignment="1">
      <alignment vertical="top" wrapText="1"/>
    </xf>
    <xf numFmtId="0" fontId="2" fillId="0" borderId="0" xfId="0" applyFont="1" applyBorder="1" applyAlignment="1">
      <alignment horizontal="right"/>
    </xf>
    <xf numFmtId="2" fontId="2" fillId="0" borderId="28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/>
    </xf>
    <xf numFmtId="0" fontId="0" fillId="0" borderId="30" xfId="0" applyFont="1" applyBorder="1" applyAlignment="1">
      <alignment horizontal="right"/>
    </xf>
    <xf numFmtId="3" fontId="2" fillId="6" borderId="3" xfId="0" applyNumberFormat="1" applyFont="1" applyFill="1" applyBorder="1" applyAlignment="1">
      <alignment/>
    </xf>
    <xf numFmtId="3" fontId="2" fillId="6" borderId="33" xfId="0" applyNumberFormat="1" applyFont="1" applyFill="1" applyBorder="1" applyAlignment="1">
      <alignment/>
    </xf>
    <xf numFmtId="0" fontId="2" fillId="6" borderId="30" xfId="0" applyFont="1" applyFill="1" applyBorder="1" applyAlignment="1">
      <alignment horizontal="right"/>
    </xf>
    <xf numFmtId="2" fontId="0" fillId="6" borderId="3" xfId="0" applyNumberFormat="1" applyFill="1" applyBorder="1" applyAlignment="1">
      <alignment/>
    </xf>
    <xf numFmtId="0" fontId="0" fillId="6" borderId="3" xfId="0" applyFill="1" applyBorder="1" applyAlignment="1">
      <alignment horizontal="right"/>
    </xf>
    <xf numFmtId="0" fontId="2" fillId="0" borderId="31" xfId="0" applyFont="1" applyBorder="1" applyAlignment="1">
      <alignment horizontal="right"/>
    </xf>
    <xf numFmtId="224" fontId="0" fillId="0" borderId="3" xfId="0" applyNumberFormat="1" applyFont="1" applyBorder="1" applyAlignment="1">
      <alignment/>
    </xf>
    <xf numFmtId="224" fontId="0" fillId="0" borderId="33" xfId="0" applyNumberFormat="1" applyFont="1" applyBorder="1" applyAlignment="1">
      <alignment/>
    </xf>
    <xf numFmtId="3" fontId="0" fillId="7" borderId="3" xfId="58" applyNumberFormat="1" applyFont="1" applyFill="1" applyBorder="1" applyAlignment="1">
      <alignment/>
    </xf>
    <xf numFmtId="3" fontId="0" fillId="7" borderId="33" xfId="58" applyNumberFormat="1" applyFont="1" applyFill="1" applyBorder="1" applyAlignment="1">
      <alignment/>
    </xf>
    <xf numFmtId="0" fontId="87" fillId="0" borderId="0" xfId="0" applyFont="1" applyFill="1" applyBorder="1" applyAlignment="1">
      <alignment vertical="top" wrapText="1"/>
    </xf>
    <xf numFmtId="0" fontId="90" fillId="0" borderId="0" xfId="0" applyFont="1" applyFill="1" applyBorder="1" applyAlignment="1">
      <alignment vertical="top" wrapText="1"/>
    </xf>
    <xf numFmtId="0" fontId="88" fillId="0" borderId="0" xfId="0" applyFont="1" applyFill="1" applyBorder="1" applyAlignment="1">
      <alignment vertical="top" wrapText="1"/>
    </xf>
    <xf numFmtId="0" fontId="86" fillId="0" borderId="0" xfId="0" applyFont="1" applyFill="1" applyBorder="1" applyAlignment="1">
      <alignment horizontal="justify" vertical="top" wrapText="1"/>
    </xf>
    <xf numFmtId="0" fontId="89" fillId="0" borderId="0" xfId="0" applyFont="1" applyFill="1" applyBorder="1" applyAlignment="1">
      <alignment vertical="top" wrapText="1"/>
    </xf>
  </cellXfs>
  <cellStyles count="220">
    <cellStyle name="Normal" xfId="0"/>
    <cellStyle name="_x0013_" xfId="15"/>
    <cellStyle name=" 1" xfId="16"/>
    <cellStyle name="(Comma)" xfId="17"/>
    <cellStyle name="_284268_1" xfId="18"/>
    <cellStyle name="£ BP" xfId="19"/>
    <cellStyle name="¥ JY" xfId="20"/>
    <cellStyle name="=C:\WINNT35\SYSTEM32\COMMAND.COM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Blue" xfId="47"/>
    <cellStyle name="Bold/Border" xfId="48"/>
    <cellStyle name="Border" xfId="49"/>
    <cellStyle name="Border Heavy" xfId="50"/>
    <cellStyle name="Border Thin" xfId="51"/>
    <cellStyle name="Bullet" xfId="52"/>
    <cellStyle name="Calc Currency (0)" xfId="53"/>
    <cellStyle name="Calculation" xfId="54"/>
    <cellStyle name="Callum" xfId="55"/>
    <cellStyle name="Cash" xfId="56"/>
    <cellStyle name="Check Cell" xfId="57"/>
    <cellStyle name="Comma" xfId="58"/>
    <cellStyle name="Comma  - Style1" xfId="59"/>
    <cellStyle name="Comma  - Style2" xfId="60"/>
    <cellStyle name="Comma  - Style3" xfId="61"/>
    <cellStyle name="Comma  - Style4" xfId="62"/>
    <cellStyle name="Comma  - Style5" xfId="63"/>
    <cellStyle name="Comma  - Style6" xfId="64"/>
    <cellStyle name="Comma  - Style7" xfId="65"/>
    <cellStyle name="Comma  - Style8" xfId="66"/>
    <cellStyle name="Comma [0]" xfId="67"/>
    <cellStyle name="Comma 0" xfId="68"/>
    <cellStyle name="Comma 2" xfId="69"/>
    <cellStyle name="Comma0" xfId="70"/>
    <cellStyle name="Copied" xfId="71"/>
    <cellStyle name="Cover Date" xfId="72"/>
    <cellStyle name="Cover Subtitle" xfId="73"/>
    <cellStyle name="Cover Title" xfId="74"/>
    <cellStyle name="Currency" xfId="75"/>
    <cellStyle name="Currency [$0]" xfId="76"/>
    <cellStyle name="Currency [£0]" xfId="77"/>
    <cellStyle name="Currency [0]" xfId="78"/>
    <cellStyle name="Currency [0] U" xfId="79"/>
    <cellStyle name="Currency [2]" xfId="80"/>
    <cellStyle name="Currency [2] U" xfId="81"/>
    <cellStyle name="Currency [2]_Book4" xfId="82"/>
    <cellStyle name="Currency 0" xfId="83"/>
    <cellStyle name="Currency 2" xfId="84"/>
    <cellStyle name="Currency Euro" xfId="85"/>
    <cellStyle name="Currency Pound" xfId="86"/>
    <cellStyle name="Currency(Cents)" xfId="87"/>
    <cellStyle name="Currency0" xfId="88"/>
    <cellStyle name="Dash" xfId="89"/>
    <cellStyle name="Data" xfId="90"/>
    <cellStyle name="Date" xfId="91"/>
    <cellStyle name="Date Aligned" xfId="92"/>
    <cellStyle name="Date U" xfId="93"/>
    <cellStyle name="Date_114901_2" xfId="94"/>
    <cellStyle name="Decimal [0]" xfId="95"/>
    <cellStyle name="Decimal [2]" xfId="96"/>
    <cellStyle name="Decimal [2] U" xfId="97"/>
    <cellStyle name="Decimal [4]" xfId="98"/>
    <cellStyle name="Decimal [4] U" xfId="99"/>
    <cellStyle name="Dezimal [0]_Übersichtstabelle_FM_24082001bu inc. EC" xfId="100"/>
    <cellStyle name="Dezimal_Übersichtstabelle_FM_24082001bu inc. EC" xfId="101"/>
    <cellStyle name="Dotted Line" xfId="102"/>
    <cellStyle name="Entered" xfId="103"/>
    <cellStyle name="Euro" xfId="104"/>
    <cellStyle name="Explanatory Text" xfId="105"/>
    <cellStyle name="EY House" xfId="106"/>
    <cellStyle name="Fix0" xfId="107"/>
    <cellStyle name="Fix2" xfId="108"/>
    <cellStyle name="Fix4" xfId="109"/>
    <cellStyle name="Fixed" xfId="110"/>
    <cellStyle name="Followed Hyperlink" xfId="111"/>
    <cellStyle name="Footer SBILogo1" xfId="112"/>
    <cellStyle name="Footer SBILogo2" xfId="113"/>
    <cellStyle name="Footnote" xfId="114"/>
    <cellStyle name="Footnote Reference" xfId="115"/>
    <cellStyle name="Footnote_pldt" xfId="116"/>
    <cellStyle name="fred" xfId="117"/>
    <cellStyle name="Fred%" xfId="118"/>
    <cellStyle name="General" xfId="119"/>
    <cellStyle name="Good" xfId="120"/>
    <cellStyle name="Grey" xfId="121"/>
    <cellStyle name="Hard Percent" xfId="122"/>
    <cellStyle name="Header" xfId="123"/>
    <cellStyle name="Header - Page" xfId="124"/>
    <cellStyle name="Header - Title" xfId="125"/>
    <cellStyle name="Header - Year Row" xfId="126"/>
    <cellStyle name="Header Draft Stamp" xfId="127"/>
    <cellStyle name="Header_pldt" xfId="128"/>
    <cellStyle name="Header1" xfId="129"/>
    <cellStyle name="Header2" xfId="130"/>
    <cellStyle name="Heading" xfId="131"/>
    <cellStyle name="Heading 1" xfId="132"/>
    <cellStyle name="Heading 1 Above" xfId="133"/>
    <cellStyle name="Heading 1+" xfId="134"/>
    <cellStyle name="Heading 2" xfId="135"/>
    <cellStyle name="Heading 2 Below" xfId="136"/>
    <cellStyle name="Heading 2+" xfId="137"/>
    <cellStyle name="Heading 3" xfId="138"/>
    <cellStyle name="Heading 3+" xfId="139"/>
    <cellStyle name="Heading 4" xfId="140"/>
    <cellStyle name="Heading1" xfId="141"/>
    <cellStyle name="Heading2" xfId="142"/>
    <cellStyle name="Heading3" xfId="143"/>
    <cellStyle name="Heading4" xfId="144"/>
    <cellStyle name="Headings" xfId="145"/>
    <cellStyle name="Hidden" xfId="146"/>
    <cellStyle name="Hyperlink" xfId="147"/>
    <cellStyle name="Input" xfId="148"/>
    <cellStyle name="Input [yellow]" xfId="149"/>
    <cellStyle name="Integer" xfId="150"/>
    <cellStyle name="KPMG Heading 1" xfId="151"/>
    <cellStyle name="KPMG Heading 2" xfId="152"/>
    <cellStyle name="KPMG Heading 3" xfId="153"/>
    <cellStyle name="KPMG Heading 4" xfId="154"/>
    <cellStyle name="KPMG Normal" xfId="155"/>
    <cellStyle name="KPMG Normal Text" xfId="156"/>
    <cellStyle name="Linked Cell" xfId="157"/>
    <cellStyle name="LongDate" xfId="158"/>
    <cellStyle name="Macro" xfId="159"/>
    <cellStyle name="Milliers [0]_Dossier financier HECC" xfId="160"/>
    <cellStyle name="Millions" xfId="161"/>
    <cellStyle name="multiple" xfId="162"/>
    <cellStyle name="Neutral" xfId="163"/>
    <cellStyle name="Normal - Style1" xfId="164"/>
    <cellStyle name="Normal U" xfId="165"/>
    <cellStyle name="NormalGB" xfId="166"/>
    <cellStyle name="Note" xfId="167"/>
    <cellStyle name="Number" xfId="168"/>
    <cellStyle name="OLELink" xfId="169"/>
    <cellStyle name="Output" xfId="170"/>
    <cellStyle name="Output millions" xfId="171"/>
    <cellStyle name="Page Number" xfId="172"/>
    <cellStyle name="Page1" xfId="173"/>
    <cellStyle name="Percent" xfId="174"/>
    <cellStyle name="Percent [0%]" xfId="175"/>
    <cellStyle name="Percent [0.00%]" xfId="176"/>
    <cellStyle name="Percent [2]" xfId="177"/>
    <cellStyle name="Percent [2] U" xfId="178"/>
    <cellStyle name="Percent [2]_Assumptions Book for Corporate Model" xfId="179"/>
    <cellStyle name="Proportion" xfId="180"/>
    <cellStyle name="Ratio" xfId="181"/>
    <cellStyle name="ratio - Style2" xfId="182"/>
    <cellStyle name="RevList" xfId="183"/>
    <cellStyle name="Salomon Logo" xfId="184"/>
    <cellStyle name="SDate" xfId="185"/>
    <cellStyle name="Section Number" xfId="186"/>
    <cellStyle name="ShortDate" xfId="187"/>
    <cellStyle name="Standard" xfId="188"/>
    <cellStyle name="std" xfId="189"/>
    <cellStyle name="Style 1" xfId="190"/>
    <cellStyle name="style1" xfId="191"/>
    <cellStyle name="Style2" xfId="192"/>
    <cellStyle name="Style3" xfId="193"/>
    <cellStyle name="Style4" xfId="194"/>
    <cellStyle name="Style5" xfId="195"/>
    <cellStyle name="style9" xfId="196"/>
    <cellStyle name="Sub totals" xfId="197"/>
    <cellStyle name="Subheading" xfId="198"/>
    <cellStyle name="Subtotal" xfId="199"/>
    <cellStyle name="Table Head" xfId="200"/>
    <cellStyle name="Table Head Aligned" xfId="201"/>
    <cellStyle name="Table Head Blue" xfId="202"/>
    <cellStyle name="Table Head Green" xfId="203"/>
    <cellStyle name="Table Head_pldt" xfId="204"/>
    <cellStyle name="Table Heading" xfId="205"/>
    <cellStyle name="Table Source" xfId="206"/>
    <cellStyle name="Table Text" xfId="207"/>
    <cellStyle name="Table Title" xfId="208"/>
    <cellStyle name="Table Units" xfId="209"/>
    <cellStyle name="Text 1" xfId="210"/>
    <cellStyle name="Text 2" xfId="211"/>
    <cellStyle name="Text Head 1" xfId="212"/>
    <cellStyle name="Text Head 2" xfId="213"/>
    <cellStyle name="Text Indent 1" xfId="214"/>
    <cellStyle name="Text Indent 2" xfId="215"/>
    <cellStyle name="Thousands" xfId="216"/>
    <cellStyle name="Title" xfId="217"/>
    <cellStyle name="TOC 1" xfId="218"/>
    <cellStyle name="TOC 2" xfId="219"/>
    <cellStyle name="Total" xfId="220"/>
    <cellStyle name="Total 1" xfId="221"/>
    <cellStyle name="Total 2" xfId="222"/>
    <cellStyle name="Total 3" xfId="223"/>
    <cellStyle name="Total 4" xfId="224"/>
    <cellStyle name="Totals" xfId="225"/>
    <cellStyle name="Units" xfId="226"/>
    <cellStyle name="Währung [0]_Übersichtstabelle_FM_24082001bu inc. EC" xfId="227"/>
    <cellStyle name="Währung_Übersichtstabelle_FM_24082001bu inc. EC" xfId="228"/>
    <cellStyle name="Warning" xfId="229"/>
    <cellStyle name="Warning Text" xfId="230"/>
    <cellStyle name="Word_Formula" xfId="231"/>
    <cellStyle name="year" xfId="232"/>
    <cellStyle name="YR_MTH" xfId="2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28</xdr:row>
      <xdr:rowOff>85725</xdr:rowOff>
    </xdr:from>
    <xdr:to>
      <xdr:col>4</xdr:col>
      <xdr:colOff>419100</xdr:colOff>
      <xdr:row>28</xdr:row>
      <xdr:rowOff>85725</xdr:rowOff>
    </xdr:to>
    <xdr:sp>
      <xdr:nvSpPr>
        <xdr:cNvPr id="1" name="Line 3"/>
        <xdr:cNvSpPr>
          <a:spLocks/>
        </xdr:cNvSpPr>
      </xdr:nvSpPr>
      <xdr:spPr>
        <a:xfrm flipH="1">
          <a:off x="3933825" y="43815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85725</xdr:rowOff>
    </xdr:from>
    <xdr:to>
      <xdr:col>4</xdr:col>
      <xdr:colOff>419100</xdr:colOff>
      <xdr:row>29</xdr:row>
      <xdr:rowOff>85725</xdr:rowOff>
    </xdr:to>
    <xdr:sp>
      <xdr:nvSpPr>
        <xdr:cNvPr id="2" name="Line 4"/>
        <xdr:cNvSpPr>
          <a:spLocks/>
        </xdr:cNvSpPr>
      </xdr:nvSpPr>
      <xdr:spPr>
        <a:xfrm flipH="1">
          <a:off x="3933825" y="45434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C320"/>
  <sheetViews>
    <sheetView showGridLines="0" tabSelected="1" zoomScalePageLayoutView="0" workbookViewId="0" topLeftCell="A1">
      <selection activeCell="C50" sqref="C50"/>
    </sheetView>
  </sheetViews>
  <sheetFormatPr defaultColWidth="9.140625" defaultRowHeight="12.75"/>
  <cols>
    <col min="1" max="1" width="3.7109375" style="114" customWidth="1"/>
    <col min="2" max="2" width="4.57421875" style="0" customWidth="1"/>
    <col min="3" max="3" width="103.7109375" style="0" customWidth="1"/>
  </cols>
  <sheetData>
    <row r="1" spans="1:3" s="113" customFormat="1" ht="15">
      <c r="A1" s="111"/>
      <c r="B1" s="111"/>
      <c r="C1" s="112" t="s">
        <v>194</v>
      </c>
    </row>
    <row r="2" ht="12.75">
      <c r="A2" s="115">
        <f>ROW()</f>
        <v>2</v>
      </c>
    </row>
    <row r="3" spans="1:3" ht="12.75">
      <c r="A3" s="115">
        <f>ROW()</f>
        <v>3</v>
      </c>
      <c r="C3" s="1" t="s">
        <v>191</v>
      </c>
    </row>
    <row r="4" spans="1:3" ht="12.75">
      <c r="A4" s="115">
        <f>ROW()</f>
        <v>4</v>
      </c>
      <c r="C4" t="s">
        <v>40</v>
      </c>
    </row>
    <row r="5" spans="1:3" ht="12.75">
      <c r="A5" s="115">
        <f>ROW()</f>
        <v>5</v>
      </c>
      <c r="C5" s="106" t="s">
        <v>195</v>
      </c>
    </row>
    <row r="6" ht="12.75">
      <c r="A6" s="115">
        <f>ROW()</f>
        <v>6</v>
      </c>
    </row>
    <row r="7" spans="1:3" ht="12.75">
      <c r="A7" s="115">
        <f>ROW()</f>
        <v>7</v>
      </c>
      <c r="C7" s="1" t="s">
        <v>193</v>
      </c>
    </row>
    <row r="8" spans="1:3" ht="12.75">
      <c r="A8" s="115">
        <f>ROW()</f>
        <v>8</v>
      </c>
      <c r="C8" t="s">
        <v>40</v>
      </c>
    </row>
    <row r="9" spans="1:3" ht="12.75">
      <c r="A9" s="115">
        <f>ROW()</f>
        <v>9</v>
      </c>
      <c r="C9" s="106" t="s">
        <v>41</v>
      </c>
    </row>
    <row r="10" spans="1:3" ht="12.75">
      <c r="A10" s="115">
        <f>ROW()</f>
        <v>10</v>
      </c>
      <c r="C10" s="108" t="s">
        <v>43</v>
      </c>
    </row>
    <row r="11" spans="1:3" ht="12.75">
      <c r="A11" s="115">
        <f>ROW()</f>
        <v>11</v>
      </c>
      <c r="C11" s="107" t="s">
        <v>42</v>
      </c>
    </row>
    <row r="12" ht="12.75">
      <c r="A12" s="115">
        <f>ROW()</f>
        <v>12</v>
      </c>
    </row>
    <row r="13" spans="1:3" ht="12.75">
      <c r="A13" s="115">
        <f>ROW()</f>
        <v>13</v>
      </c>
      <c r="C13" s="1" t="s">
        <v>192</v>
      </c>
    </row>
    <row r="14" spans="1:3" ht="12.75">
      <c r="A14" s="115">
        <f>ROW()</f>
        <v>14</v>
      </c>
      <c r="C14" t="s">
        <v>40</v>
      </c>
    </row>
    <row r="15" spans="1:3" ht="12.75">
      <c r="A15" s="115">
        <f>ROW()</f>
        <v>15</v>
      </c>
      <c r="C15" s="106" t="s">
        <v>186</v>
      </c>
    </row>
    <row r="16" spans="1:3" ht="12.75">
      <c r="A16" s="115">
        <f>ROW()</f>
        <v>16</v>
      </c>
      <c r="C16" s="106" t="s">
        <v>185</v>
      </c>
    </row>
    <row r="17" ht="12.75">
      <c r="A17" s="115">
        <f>ROW()</f>
        <v>17</v>
      </c>
    </row>
    <row r="18" spans="1:3" ht="12.75">
      <c r="A18" s="115">
        <f>ROW()</f>
        <v>18</v>
      </c>
      <c r="C18" s="109" t="s">
        <v>44</v>
      </c>
    </row>
    <row r="19" spans="1:3" ht="12.75">
      <c r="A19" s="115">
        <f>ROW()</f>
        <v>19</v>
      </c>
      <c r="C19" t="s">
        <v>40</v>
      </c>
    </row>
    <row r="20" spans="1:3" ht="12.75">
      <c r="A20" s="115">
        <f>ROW()</f>
        <v>20</v>
      </c>
      <c r="C20" s="106" t="s">
        <v>184</v>
      </c>
    </row>
    <row r="21" spans="1:3" ht="12.75">
      <c r="A21" s="115">
        <f>ROW()</f>
        <v>21</v>
      </c>
      <c r="C21" s="106" t="s">
        <v>45</v>
      </c>
    </row>
    <row r="22" spans="1:3" ht="12.75">
      <c r="A22" s="115">
        <f>ROW()</f>
        <v>22</v>
      </c>
      <c r="C22" s="106" t="s">
        <v>200</v>
      </c>
    </row>
    <row r="23" spans="1:3" ht="12.75">
      <c r="A23" s="115">
        <f>ROW()</f>
        <v>23</v>
      </c>
      <c r="C23" s="106" t="s">
        <v>201</v>
      </c>
    </row>
    <row r="24" spans="1:3" ht="12.75">
      <c r="A24" s="115">
        <f>ROW()</f>
        <v>24</v>
      </c>
      <c r="C24" t="s">
        <v>196</v>
      </c>
    </row>
    <row r="25" spans="1:3" s="10" customFormat="1" ht="12.75">
      <c r="A25" s="335">
        <f>ROW()</f>
        <v>25</v>
      </c>
      <c r="C25" s="109" t="s">
        <v>47</v>
      </c>
    </row>
    <row r="26" spans="1:3" ht="12.75">
      <c r="A26" s="115">
        <f>ROW()</f>
        <v>26</v>
      </c>
      <c r="C26" t="s">
        <v>40</v>
      </c>
    </row>
    <row r="27" spans="1:3" ht="12.75">
      <c r="A27" s="115">
        <f>ROW()</f>
        <v>27</v>
      </c>
      <c r="C27" t="s">
        <v>197</v>
      </c>
    </row>
    <row r="28" spans="1:3" ht="12.75">
      <c r="A28" s="115">
        <f>ROW()</f>
        <v>28</v>
      </c>
      <c r="C28" s="106" t="s">
        <v>48</v>
      </c>
    </row>
    <row r="29" spans="1:3" ht="12.75">
      <c r="A29" s="115">
        <f>ROW()</f>
        <v>29</v>
      </c>
      <c r="C29" s="106" t="s">
        <v>202</v>
      </c>
    </row>
    <row r="30" ht="12.75">
      <c r="A30" s="115">
        <f>ROW()</f>
        <v>30</v>
      </c>
    </row>
    <row r="31" spans="1:3" ht="12.75">
      <c r="A31" s="115">
        <f>ROW()</f>
        <v>31</v>
      </c>
      <c r="C31" s="109" t="s">
        <v>49</v>
      </c>
    </row>
    <row r="32" spans="1:3" ht="12.75">
      <c r="A32" s="115">
        <f>ROW()</f>
        <v>32</v>
      </c>
      <c r="C32" t="s">
        <v>40</v>
      </c>
    </row>
    <row r="33" spans="1:3" ht="12.75">
      <c r="A33" s="115">
        <f>ROW()</f>
        <v>33</v>
      </c>
      <c r="C33" s="106" t="s">
        <v>50</v>
      </c>
    </row>
    <row r="34" spans="1:3" ht="12.75">
      <c r="A34" s="115">
        <f>ROW()</f>
        <v>34</v>
      </c>
      <c r="C34" s="106" t="s">
        <v>51</v>
      </c>
    </row>
    <row r="35" ht="12.75">
      <c r="A35" s="115">
        <f>ROW()</f>
        <v>35</v>
      </c>
    </row>
    <row r="36" spans="1:3" ht="12.75">
      <c r="A36" s="115">
        <f>ROW()</f>
        <v>36</v>
      </c>
      <c r="C36" s="109" t="s">
        <v>46</v>
      </c>
    </row>
    <row r="37" spans="1:3" ht="12.75">
      <c r="A37" s="115">
        <f>ROW()</f>
        <v>37</v>
      </c>
      <c r="C37" t="s">
        <v>40</v>
      </c>
    </row>
    <row r="38" spans="1:3" ht="12.75">
      <c r="A38" s="115">
        <f>ROW()</f>
        <v>38</v>
      </c>
      <c r="C38" s="106" t="s">
        <v>187</v>
      </c>
    </row>
    <row r="39" spans="1:3" ht="12.75">
      <c r="A39" s="115">
        <f>ROW()</f>
        <v>39</v>
      </c>
      <c r="C39" s="106" t="s">
        <v>188</v>
      </c>
    </row>
    <row r="40" spans="1:3" ht="12.75">
      <c r="A40" s="115">
        <f>ROW()</f>
        <v>40</v>
      </c>
      <c r="C40" s="109" t="s">
        <v>189</v>
      </c>
    </row>
    <row r="41" spans="1:3" ht="12.75">
      <c r="A41" s="115">
        <f>ROW()</f>
        <v>41</v>
      </c>
      <c r="C41" t="s">
        <v>40</v>
      </c>
    </row>
    <row r="42" spans="1:3" ht="12.75">
      <c r="A42" s="115">
        <f>ROW()</f>
        <v>42</v>
      </c>
      <c r="C42" t="s">
        <v>198</v>
      </c>
    </row>
    <row r="43" spans="1:3" ht="12.75">
      <c r="A43" s="115">
        <f>ROW()</f>
        <v>43</v>
      </c>
      <c r="C43" s="106" t="s">
        <v>190</v>
      </c>
    </row>
    <row r="44" ht="12.75">
      <c r="A44" s="115">
        <f>ROW()</f>
        <v>44</v>
      </c>
    </row>
    <row r="45" ht="12.75">
      <c r="A45" s="115">
        <f>ROW()</f>
        <v>45</v>
      </c>
    </row>
    <row r="46" ht="12.75">
      <c r="A46" s="115">
        <f>ROW()</f>
        <v>46</v>
      </c>
    </row>
    <row r="47" ht="12.75">
      <c r="A47" s="115">
        <f>ROW()</f>
        <v>47</v>
      </c>
    </row>
    <row r="48" ht="12.75">
      <c r="A48" s="115">
        <f>ROW()</f>
        <v>48</v>
      </c>
    </row>
    <row r="49" ht="12.75">
      <c r="A49" s="115">
        <f>ROW()</f>
        <v>49</v>
      </c>
    </row>
    <row r="50" ht="12.75">
      <c r="A50" s="115">
        <f>ROW()</f>
        <v>50</v>
      </c>
    </row>
    <row r="51" ht="12.75">
      <c r="A51" s="115">
        <f>ROW()</f>
        <v>51</v>
      </c>
    </row>
    <row r="52" ht="12.75">
      <c r="A52" s="115">
        <f>ROW()</f>
        <v>52</v>
      </c>
    </row>
    <row r="53" ht="12.75">
      <c r="A53" s="115">
        <f>ROW()</f>
        <v>53</v>
      </c>
    </row>
    <row r="54" ht="12.75">
      <c r="A54" s="115">
        <f>ROW()</f>
        <v>54</v>
      </c>
    </row>
    <row r="55" ht="12.75">
      <c r="A55" s="115">
        <f>ROW()</f>
        <v>55</v>
      </c>
    </row>
    <row r="56" ht="12.75">
      <c r="A56" s="115">
        <f>ROW()</f>
        <v>56</v>
      </c>
    </row>
    <row r="57" ht="12.75">
      <c r="A57" s="115">
        <f>ROW()</f>
        <v>57</v>
      </c>
    </row>
    <row r="58" ht="12.75">
      <c r="A58" s="115">
        <f>ROW()</f>
        <v>58</v>
      </c>
    </row>
    <row r="59" ht="12.75">
      <c r="A59" s="115">
        <f>ROW()</f>
        <v>59</v>
      </c>
    </row>
    <row r="60" ht="12.75">
      <c r="A60" s="115">
        <f>ROW()</f>
        <v>60</v>
      </c>
    </row>
    <row r="61" ht="12.75">
      <c r="A61" s="115">
        <f>ROW()</f>
        <v>61</v>
      </c>
    </row>
    <row r="62" ht="12.75">
      <c r="A62" s="115">
        <f>ROW()</f>
        <v>62</v>
      </c>
    </row>
    <row r="63" ht="12.75">
      <c r="A63" s="115">
        <f>ROW()</f>
        <v>63</v>
      </c>
    </row>
    <row r="64" ht="12.75">
      <c r="A64" s="115">
        <f>ROW()</f>
        <v>64</v>
      </c>
    </row>
    <row r="65" ht="12.75">
      <c r="A65" s="115">
        <f>ROW()</f>
        <v>65</v>
      </c>
    </row>
    <row r="66" ht="12.75">
      <c r="A66" s="115">
        <f>ROW()</f>
        <v>66</v>
      </c>
    </row>
    <row r="67" ht="12.75">
      <c r="A67" s="115">
        <f>ROW()</f>
        <v>67</v>
      </c>
    </row>
    <row r="68" ht="12.75">
      <c r="A68" s="115">
        <f>ROW()</f>
        <v>68</v>
      </c>
    </row>
    <row r="69" ht="12.75">
      <c r="A69" s="115">
        <f>ROW()</f>
        <v>69</v>
      </c>
    </row>
    <row r="70" ht="12.75">
      <c r="A70" s="115">
        <f>ROW()</f>
        <v>70</v>
      </c>
    </row>
    <row r="71" ht="12.75">
      <c r="A71" s="115">
        <f>ROW()</f>
        <v>71</v>
      </c>
    </row>
    <row r="72" ht="12.75">
      <c r="A72" s="115">
        <f>ROW()</f>
        <v>72</v>
      </c>
    </row>
    <row r="73" ht="12.75">
      <c r="A73" s="115">
        <f>ROW()</f>
        <v>73</v>
      </c>
    </row>
    <row r="74" ht="12.75">
      <c r="A74" s="115">
        <f>ROW()</f>
        <v>74</v>
      </c>
    </row>
    <row r="75" ht="12.75">
      <c r="A75" s="115">
        <f>ROW()</f>
        <v>75</v>
      </c>
    </row>
    <row r="76" ht="12.75">
      <c r="A76" s="115">
        <f>ROW()</f>
        <v>76</v>
      </c>
    </row>
    <row r="77" ht="12.75">
      <c r="A77" s="115">
        <f>ROW()</f>
        <v>77</v>
      </c>
    </row>
    <row r="78" ht="12.75">
      <c r="A78" s="115">
        <f>ROW()</f>
        <v>78</v>
      </c>
    </row>
    <row r="79" ht="12.75">
      <c r="A79" s="115">
        <f>ROW()</f>
        <v>79</v>
      </c>
    </row>
    <row r="80" ht="12.75">
      <c r="A80" s="115">
        <f>ROW()</f>
        <v>80</v>
      </c>
    </row>
    <row r="81" ht="12.75">
      <c r="A81" s="115">
        <f>ROW()</f>
        <v>81</v>
      </c>
    </row>
    <row r="82" ht="12.75">
      <c r="A82" s="115">
        <f>ROW()</f>
        <v>82</v>
      </c>
    </row>
    <row r="83" ht="12.75">
      <c r="A83" s="115">
        <f>ROW()</f>
        <v>83</v>
      </c>
    </row>
    <row r="84" ht="12.75">
      <c r="A84" s="115">
        <f>ROW()</f>
        <v>84</v>
      </c>
    </row>
    <row r="85" ht="12.75">
      <c r="A85" s="115">
        <f>ROW()</f>
        <v>85</v>
      </c>
    </row>
    <row r="86" ht="12.75">
      <c r="A86" s="115">
        <f>ROW()</f>
        <v>86</v>
      </c>
    </row>
    <row r="87" ht="12.75">
      <c r="A87" s="115">
        <f>ROW()</f>
        <v>87</v>
      </c>
    </row>
    <row r="88" ht="12.75">
      <c r="A88" s="115">
        <f>ROW()</f>
        <v>88</v>
      </c>
    </row>
    <row r="89" ht="12.75">
      <c r="A89" s="115">
        <f>ROW()</f>
        <v>89</v>
      </c>
    </row>
    <row r="90" ht="12.75">
      <c r="A90" s="115">
        <f>ROW()</f>
        <v>90</v>
      </c>
    </row>
    <row r="91" ht="12.75">
      <c r="A91" s="115">
        <f>ROW()</f>
        <v>91</v>
      </c>
    </row>
    <row r="92" ht="12.75">
      <c r="A92" s="115">
        <f>ROW()</f>
        <v>92</v>
      </c>
    </row>
    <row r="93" ht="12.75">
      <c r="A93" s="115">
        <f>ROW()</f>
        <v>93</v>
      </c>
    </row>
    <row r="94" ht="12.75">
      <c r="A94" s="115">
        <f>ROW()</f>
        <v>94</v>
      </c>
    </row>
    <row r="95" ht="12.75">
      <c r="A95" s="115">
        <f>ROW()</f>
        <v>95</v>
      </c>
    </row>
    <row r="96" ht="12.75">
      <c r="A96" s="115">
        <f>ROW()</f>
        <v>96</v>
      </c>
    </row>
    <row r="97" ht="12.75">
      <c r="A97" s="115">
        <f>ROW()</f>
        <v>97</v>
      </c>
    </row>
    <row r="98" ht="12.75">
      <c r="A98" s="115">
        <f>ROW()</f>
        <v>98</v>
      </c>
    </row>
    <row r="99" ht="12.75">
      <c r="A99" s="115">
        <f>ROW()</f>
        <v>99</v>
      </c>
    </row>
    <row r="100" ht="12.75">
      <c r="A100" s="115">
        <f>ROW()</f>
        <v>100</v>
      </c>
    </row>
    <row r="101" ht="12.75">
      <c r="A101" s="115">
        <f>ROW()</f>
        <v>101</v>
      </c>
    </row>
    <row r="102" ht="12.75">
      <c r="A102" s="115">
        <f>ROW()</f>
        <v>102</v>
      </c>
    </row>
    <row r="103" ht="12.75">
      <c r="A103" s="115">
        <f>ROW()</f>
        <v>103</v>
      </c>
    </row>
    <row r="104" ht="12.75">
      <c r="A104" s="115">
        <f>ROW()</f>
        <v>104</v>
      </c>
    </row>
    <row r="105" ht="12.75">
      <c r="A105" s="115">
        <f>ROW()</f>
        <v>105</v>
      </c>
    </row>
    <row r="106" ht="12.75">
      <c r="A106" s="115">
        <f>ROW()</f>
        <v>106</v>
      </c>
    </row>
    <row r="107" ht="12.75">
      <c r="A107" s="115">
        <f>ROW()</f>
        <v>107</v>
      </c>
    </row>
    <row r="108" ht="12.75">
      <c r="A108" s="115">
        <f>ROW()</f>
        <v>108</v>
      </c>
    </row>
    <row r="109" ht="12.75">
      <c r="A109" s="115">
        <f>ROW()</f>
        <v>109</v>
      </c>
    </row>
    <row r="110" ht="12.75">
      <c r="A110" s="115">
        <f>ROW()</f>
        <v>110</v>
      </c>
    </row>
    <row r="111" ht="12.75">
      <c r="A111" s="115">
        <f>ROW()</f>
        <v>111</v>
      </c>
    </row>
    <row r="112" ht="12.75">
      <c r="A112" s="115">
        <f>ROW()</f>
        <v>112</v>
      </c>
    </row>
    <row r="113" ht="12.75">
      <c r="A113" s="115">
        <f>ROW()</f>
        <v>113</v>
      </c>
    </row>
    <row r="114" ht="12.75">
      <c r="A114" s="115">
        <f>ROW()</f>
        <v>114</v>
      </c>
    </row>
    <row r="115" ht="12.75">
      <c r="A115" s="115">
        <f>ROW()</f>
        <v>115</v>
      </c>
    </row>
    <row r="116" ht="12.75">
      <c r="A116" s="115">
        <f>ROW()</f>
        <v>116</v>
      </c>
    </row>
    <row r="117" ht="12.75">
      <c r="A117" s="115">
        <f>ROW()</f>
        <v>117</v>
      </c>
    </row>
    <row r="118" ht="12.75">
      <c r="A118" s="115">
        <f>ROW()</f>
        <v>118</v>
      </c>
    </row>
    <row r="119" ht="12.75">
      <c r="A119" s="115">
        <f>ROW()</f>
        <v>119</v>
      </c>
    </row>
    <row r="120" ht="12.75">
      <c r="A120" s="115">
        <f>ROW()</f>
        <v>120</v>
      </c>
    </row>
    <row r="121" ht="12.75">
      <c r="A121" s="115">
        <f>ROW()</f>
        <v>121</v>
      </c>
    </row>
    <row r="122" ht="12.75">
      <c r="A122" s="115">
        <f>ROW()</f>
        <v>122</v>
      </c>
    </row>
    <row r="123" ht="12.75">
      <c r="A123" s="115">
        <f>ROW()</f>
        <v>123</v>
      </c>
    </row>
    <row r="124" ht="12.75">
      <c r="A124" s="115">
        <f>ROW()</f>
        <v>124</v>
      </c>
    </row>
    <row r="125" ht="12.75">
      <c r="A125" s="115">
        <f>ROW()</f>
        <v>125</v>
      </c>
    </row>
    <row r="126" ht="12.75">
      <c r="A126" s="115">
        <f>ROW()</f>
        <v>126</v>
      </c>
    </row>
    <row r="127" ht="12.75">
      <c r="A127" s="115">
        <f>ROW()</f>
        <v>127</v>
      </c>
    </row>
    <row r="128" ht="12.75">
      <c r="A128" s="115">
        <f>ROW()</f>
        <v>128</v>
      </c>
    </row>
    <row r="129" ht="12.75">
      <c r="A129" s="115">
        <f>ROW()</f>
        <v>129</v>
      </c>
    </row>
    <row r="130" ht="12.75">
      <c r="A130" s="115">
        <f>ROW()</f>
        <v>130</v>
      </c>
    </row>
    <row r="131" ht="12.75">
      <c r="A131" s="115">
        <f>ROW()</f>
        <v>131</v>
      </c>
    </row>
    <row r="132" ht="12.75">
      <c r="A132" s="115">
        <f>ROW()</f>
        <v>132</v>
      </c>
    </row>
    <row r="133" ht="12.75">
      <c r="A133" s="115">
        <f>ROW()</f>
        <v>133</v>
      </c>
    </row>
    <row r="134" ht="12.75">
      <c r="A134" s="115">
        <f>ROW()</f>
        <v>134</v>
      </c>
    </row>
    <row r="135" ht="12.75">
      <c r="A135" s="115">
        <f>ROW()</f>
        <v>135</v>
      </c>
    </row>
    <row r="136" ht="12.75">
      <c r="A136" s="115">
        <f>ROW()</f>
        <v>136</v>
      </c>
    </row>
    <row r="137" ht="12.75">
      <c r="A137" s="115">
        <f>ROW()</f>
        <v>137</v>
      </c>
    </row>
    <row r="138" ht="12.75">
      <c r="A138" s="115">
        <f>ROW()</f>
        <v>138</v>
      </c>
    </row>
    <row r="139" ht="12.75">
      <c r="A139" s="115">
        <f>ROW()</f>
        <v>139</v>
      </c>
    </row>
    <row r="140" ht="12.75">
      <c r="A140" s="115">
        <f>ROW()</f>
        <v>140</v>
      </c>
    </row>
    <row r="141" ht="12.75">
      <c r="A141" s="115">
        <f>ROW()</f>
        <v>141</v>
      </c>
    </row>
    <row r="142" ht="12.75">
      <c r="A142" s="115">
        <f>ROW()</f>
        <v>142</v>
      </c>
    </row>
    <row r="143" ht="12.75">
      <c r="A143" s="115">
        <f>ROW()</f>
        <v>143</v>
      </c>
    </row>
    <row r="144" ht="12.75">
      <c r="A144" s="115">
        <f>ROW()</f>
        <v>144</v>
      </c>
    </row>
    <row r="145" ht="12.75">
      <c r="A145" s="115">
        <f>ROW()</f>
        <v>145</v>
      </c>
    </row>
    <row r="146" ht="12.75">
      <c r="A146" s="115">
        <f>ROW()</f>
        <v>146</v>
      </c>
    </row>
    <row r="147" ht="12.75">
      <c r="A147" s="115">
        <f>ROW()</f>
        <v>147</v>
      </c>
    </row>
    <row r="148" ht="12.75">
      <c r="A148" s="115">
        <f>ROW()</f>
        <v>148</v>
      </c>
    </row>
    <row r="149" ht="12.75">
      <c r="A149" s="115">
        <f>ROW()</f>
        <v>149</v>
      </c>
    </row>
    <row r="150" ht="12.75">
      <c r="A150" s="115">
        <f>ROW()</f>
        <v>150</v>
      </c>
    </row>
    <row r="151" ht="12.75">
      <c r="A151" s="115">
        <f>ROW()</f>
        <v>151</v>
      </c>
    </row>
    <row r="152" ht="12.75">
      <c r="A152" s="115">
        <f>ROW()</f>
        <v>152</v>
      </c>
    </row>
    <row r="153" ht="12.75">
      <c r="A153" s="115">
        <f>ROW()</f>
        <v>153</v>
      </c>
    </row>
    <row r="154" ht="12.75">
      <c r="A154" s="115">
        <f>ROW()</f>
        <v>154</v>
      </c>
    </row>
    <row r="155" ht="12.75">
      <c r="A155" s="115">
        <f>ROW()</f>
        <v>155</v>
      </c>
    </row>
    <row r="156" ht="12.75">
      <c r="A156" s="115">
        <f>ROW()</f>
        <v>156</v>
      </c>
    </row>
    <row r="157" ht="12.75">
      <c r="A157" s="115">
        <f>ROW()</f>
        <v>157</v>
      </c>
    </row>
    <row r="158" ht="12.75">
      <c r="A158" s="115">
        <f>ROW()</f>
        <v>158</v>
      </c>
    </row>
    <row r="159" ht="12.75">
      <c r="A159" s="115">
        <f>ROW()</f>
        <v>159</v>
      </c>
    </row>
    <row r="160" ht="12.75">
      <c r="A160" s="115">
        <f>ROW()</f>
        <v>160</v>
      </c>
    </row>
    <row r="161" ht="12.75">
      <c r="A161" s="115">
        <f>ROW()</f>
        <v>161</v>
      </c>
    </row>
    <row r="162" ht="12.75">
      <c r="A162" s="115">
        <f>ROW()</f>
        <v>162</v>
      </c>
    </row>
    <row r="163" ht="12.75">
      <c r="A163" s="115">
        <f>ROW()</f>
        <v>163</v>
      </c>
    </row>
    <row r="164" ht="12.75">
      <c r="A164" s="115">
        <f>ROW()</f>
        <v>164</v>
      </c>
    </row>
    <row r="165" ht="12.75">
      <c r="A165" s="115">
        <f>ROW()</f>
        <v>165</v>
      </c>
    </row>
    <row r="166" ht="12.75">
      <c r="A166" s="115">
        <f>ROW()</f>
        <v>166</v>
      </c>
    </row>
    <row r="167" ht="12.75">
      <c r="A167" s="115">
        <f>ROW()</f>
        <v>167</v>
      </c>
    </row>
    <row r="168" ht="12.75">
      <c r="A168" s="115">
        <f>ROW()</f>
        <v>168</v>
      </c>
    </row>
    <row r="169" ht="12.75">
      <c r="A169" s="115">
        <f>ROW()</f>
        <v>169</v>
      </c>
    </row>
    <row r="170" ht="12.75">
      <c r="A170" s="115">
        <f>ROW()</f>
        <v>170</v>
      </c>
    </row>
    <row r="171" ht="12.75">
      <c r="A171" s="115">
        <f>ROW()</f>
        <v>171</v>
      </c>
    </row>
    <row r="172" ht="12.75">
      <c r="A172" s="115">
        <f>ROW()</f>
        <v>172</v>
      </c>
    </row>
    <row r="173" ht="12.75">
      <c r="A173" s="115">
        <f>ROW()</f>
        <v>173</v>
      </c>
    </row>
    <row r="174" ht="12.75">
      <c r="A174" s="115">
        <f>ROW()</f>
        <v>174</v>
      </c>
    </row>
    <row r="175" ht="12.75">
      <c r="A175" s="115">
        <f>ROW()</f>
        <v>175</v>
      </c>
    </row>
    <row r="176" ht="12.75">
      <c r="A176" s="115">
        <f>ROW()</f>
        <v>176</v>
      </c>
    </row>
    <row r="177" ht="12.75">
      <c r="A177" s="115">
        <f>ROW()</f>
        <v>177</v>
      </c>
    </row>
    <row r="178" ht="12.75">
      <c r="A178" s="115">
        <f>ROW()</f>
        <v>178</v>
      </c>
    </row>
    <row r="179" ht="12.75">
      <c r="A179" s="115">
        <f>ROW()</f>
        <v>179</v>
      </c>
    </row>
    <row r="180" ht="12.75">
      <c r="A180" s="115">
        <f>ROW()</f>
        <v>180</v>
      </c>
    </row>
    <row r="181" ht="12.75">
      <c r="A181" s="115">
        <f>ROW()</f>
        <v>181</v>
      </c>
    </row>
    <row r="182" ht="12.75">
      <c r="A182" s="115">
        <f>ROW()</f>
        <v>182</v>
      </c>
    </row>
    <row r="183" ht="12.75">
      <c r="A183" s="115">
        <f>ROW()</f>
        <v>183</v>
      </c>
    </row>
    <row r="184" ht="12.75">
      <c r="A184" s="115">
        <f>ROW()</f>
        <v>184</v>
      </c>
    </row>
    <row r="185" ht="12.75">
      <c r="A185" s="115">
        <f>ROW()</f>
        <v>185</v>
      </c>
    </row>
    <row r="186" ht="12.75">
      <c r="A186" s="115">
        <f>ROW()</f>
        <v>186</v>
      </c>
    </row>
    <row r="187" ht="12.75">
      <c r="A187" s="115">
        <f>ROW()</f>
        <v>187</v>
      </c>
    </row>
    <row r="188" ht="12.75">
      <c r="A188" s="115">
        <f>ROW()</f>
        <v>188</v>
      </c>
    </row>
    <row r="189" ht="12.75">
      <c r="A189" s="115">
        <f>ROW()</f>
        <v>189</v>
      </c>
    </row>
    <row r="190" ht="12.75">
      <c r="A190" s="115">
        <f>ROW()</f>
        <v>190</v>
      </c>
    </row>
    <row r="191" ht="12.75">
      <c r="A191" s="115">
        <f>ROW()</f>
        <v>191</v>
      </c>
    </row>
    <row r="192" ht="12.75">
      <c r="A192" s="115">
        <f>ROW()</f>
        <v>192</v>
      </c>
    </row>
    <row r="193" ht="12.75">
      <c r="A193" s="115">
        <f>ROW()</f>
        <v>193</v>
      </c>
    </row>
    <row r="194" ht="12.75">
      <c r="A194" s="115">
        <f>ROW()</f>
        <v>194</v>
      </c>
    </row>
    <row r="195" ht="12.75">
      <c r="A195" s="115">
        <f>ROW()</f>
        <v>195</v>
      </c>
    </row>
    <row r="196" ht="12.75">
      <c r="A196" s="115">
        <f>ROW()</f>
        <v>196</v>
      </c>
    </row>
    <row r="197" ht="12.75">
      <c r="A197" s="115">
        <f>ROW()</f>
        <v>197</v>
      </c>
    </row>
    <row r="198" ht="12.75">
      <c r="A198" s="115">
        <f>ROW()</f>
        <v>198</v>
      </c>
    </row>
    <row r="199" ht="12.75">
      <c r="A199" s="115">
        <f>ROW()</f>
        <v>199</v>
      </c>
    </row>
    <row r="200" ht="12.75">
      <c r="A200" s="115">
        <f>ROW()</f>
        <v>200</v>
      </c>
    </row>
    <row r="201" ht="12.75">
      <c r="A201" s="115">
        <f>ROW()</f>
        <v>201</v>
      </c>
    </row>
    <row r="202" ht="12.75">
      <c r="A202" s="115">
        <f>ROW()</f>
        <v>202</v>
      </c>
    </row>
    <row r="203" ht="12.75">
      <c r="A203" s="115">
        <f>ROW()</f>
        <v>203</v>
      </c>
    </row>
    <row r="204" ht="12.75">
      <c r="A204" s="115">
        <f>ROW()</f>
        <v>204</v>
      </c>
    </row>
    <row r="205" ht="12.75">
      <c r="A205" s="115">
        <f>ROW()</f>
        <v>205</v>
      </c>
    </row>
    <row r="206" ht="12.75">
      <c r="A206" s="115">
        <f>ROW()</f>
        <v>206</v>
      </c>
    </row>
    <row r="207" ht="12.75">
      <c r="A207" s="115">
        <f>ROW()</f>
        <v>207</v>
      </c>
    </row>
    <row r="208" ht="12.75">
      <c r="A208" s="115">
        <f>ROW()</f>
        <v>208</v>
      </c>
    </row>
    <row r="209" ht="12.75">
      <c r="A209" s="115">
        <f>ROW()</f>
        <v>209</v>
      </c>
    </row>
    <row r="210" ht="12.75">
      <c r="A210" s="115">
        <f>ROW()</f>
        <v>210</v>
      </c>
    </row>
    <row r="211" ht="12.75">
      <c r="A211" s="115">
        <f>ROW()</f>
        <v>211</v>
      </c>
    </row>
    <row r="212" ht="12.75">
      <c r="A212" s="115">
        <f>ROW()</f>
        <v>212</v>
      </c>
    </row>
    <row r="213" ht="12.75">
      <c r="A213" s="115">
        <f>ROW()</f>
        <v>213</v>
      </c>
    </row>
    <row r="214" ht="12.75">
      <c r="A214" s="115">
        <f>ROW()</f>
        <v>214</v>
      </c>
    </row>
    <row r="215" ht="12.75">
      <c r="A215" s="115">
        <f>ROW()</f>
        <v>215</v>
      </c>
    </row>
    <row r="216" ht="12.75">
      <c r="A216" s="115">
        <f>ROW()</f>
        <v>216</v>
      </c>
    </row>
    <row r="217" ht="12.75">
      <c r="A217" s="115">
        <f>ROW()</f>
        <v>217</v>
      </c>
    </row>
    <row r="218" ht="12.75">
      <c r="A218" s="115">
        <f>ROW()</f>
        <v>218</v>
      </c>
    </row>
    <row r="219" ht="12.75">
      <c r="A219" s="115">
        <f>ROW()</f>
        <v>219</v>
      </c>
    </row>
    <row r="220" ht="12.75">
      <c r="A220" s="115">
        <f>ROW()</f>
        <v>220</v>
      </c>
    </row>
    <row r="221" ht="12.75">
      <c r="A221" s="115">
        <f>ROW()</f>
        <v>221</v>
      </c>
    </row>
    <row r="222" ht="12.75">
      <c r="A222" s="115">
        <f>ROW()</f>
        <v>222</v>
      </c>
    </row>
    <row r="223" ht="12.75">
      <c r="A223" s="115">
        <f>ROW()</f>
        <v>223</v>
      </c>
    </row>
    <row r="224" ht="12.75">
      <c r="A224" s="115">
        <f>ROW()</f>
        <v>224</v>
      </c>
    </row>
    <row r="225" ht="12.75">
      <c r="A225" s="115">
        <f>ROW()</f>
        <v>225</v>
      </c>
    </row>
    <row r="226" ht="12.75">
      <c r="A226" s="115">
        <f>ROW()</f>
        <v>226</v>
      </c>
    </row>
    <row r="227" ht="12.75">
      <c r="A227" s="115">
        <f>ROW()</f>
        <v>227</v>
      </c>
    </row>
    <row r="228" ht="12.75">
      <c r="A228" s="115">
        <f>ROW()</f>
        <v>228</v>
      </c>
    </row>
    <row r="229" ht="12.75">
      <c r="A229" s="115">
        <f>ROW()</f>
        <v>229</v>
      </c>
    </row>
    <row r="230" ht="12.75">
      <c r="A230" s="115">
        <f>ROW()</f>
        <v>230</v>
      </c>
    </row>
    <row r="231" ht="12.75">
      <c r="A231" s="115">
        <f>ROW()</f>
        <v>231</v>
      </c>
    </row>
    <row r="232" ht="12.75">
      <c r="A232" s="115">
        <f>ROW()</f>
        <v>232</v>
      </c>
    </row>
    <row r="233" ht="12.75">
      <c r="A233" s="115">
        <f>ROW()</f>
        <v>233</v>
      </c>
    </row>
    <row r="234" ht="12.75">
      <c r="A234" s="115">
        <f>ROW()</f>
        <v>234</v>
      </c>
    </row>
    <row r="235" ht="12.75">
      <c r="A235" s="115">
        <f>ROW()</f>
        <v>235</v>
      </c>
    </row>
    <row r="236" ht="12.75">
      <c r="A236" s="115">
        <f>ROW()</f>
        <v>236</v>
      </c>
    </row>
    <row r="237" ht="12.75">
      <c r="A237" s="115">
        <f>ROW()</f>
        <v>237</v>
      </c>
    </row>
    <row r="238" ht="12.75">
      <c r="A238" s="115">
        <f>ROW()</f>
        <v>238</v>
      </c>
    </row>
    <row r="239" ht="12.75">
      <c r="A239" s="115">
        <f>ROW()</f>
        <v>239</v>
      </c>
    </row>
    <row r="240" ht="12.75">
      <c r="A240" s="115">
        <f>ROW()</f>
        <v>240</v>
      </c>
    </row>
    <row r="241" ht="12.75">
      <c r="A241" s="115">
        <f>ROW()</f>
        <v>241</v>
      </c>
    </row>
    <row r="242" ht="12.75">
      <c r="A242" s="115">
        <f>ROW()</f>
        <v>242</v>
      </c>
    </row>
    <row r="243" ht="12.75">
      <c r="A243" s="115">
        <f>ROW()</f>
        <v>243</v>
      </c>
    </row>
    <row r="244" ht="12.75">
      <c r="A244" s="115">
        <f>ROW()</f>
        <v>244</v>
      </c>
    </row>
    <row r="245" ht="12.75">
      <c r="A245" s="115">
        <f>ROW()</f>
        <v>245</v>
      </c>
    </row>
    <row r="246" ht="12.75">
      <c r="A246" s="115">
        <f>ROW()</f>
        <v>246</v>
      </c>
    </row>
    <row r="247" ht="12.75">
      <c r="A247" s="115">
        <f>ROW()</f>
        <v>247</v>
      </c>
    </row>
    <row r="248" ht="12.75">
      <c r="A248" s="115">
        <f>ROW()</f>
        <v>248</v>
      </c>
    </row>
    <row r="249" ht="12.75">
      <c r="A249" s="115">
        <f>ROW()</f>
        <v>249</v>
      </c>
    </row>
    <row r="250" ht="12.75">
      <c r="A250" s="115">
        <f>ROW()</f>
        <v>250</v>
      </c>
    </row>
    <row r="251" ht="12.75">
      <c r="A251" s="115">
        <f>ROW()</f>
        <v>251</v>
      </c>
    </row>
    <row r="252" ht="12.75">
      <c r="A252" s="115">
        <f>ROW()</f>
        <v>252</v>
      </c>
    </row>
    <row r="253" ht="12.75">
      <c r="A253" s="115">
        <f>ROW()</f>
        <v>253</v>
      </c>
    </row>
    <row r="254" ht="12.75">
      <c r="A254" s="115">
        <f>ROW()</f>
        <v>254</v>
      </c>
    </row>
    <row r="255" ht="12.75">
      <c r="A255" s="115">
        <f>ROW()</f>
        <v>255</v>
      </c>
    </row>
    <row r="256" ht="12.75">
      <c r="A256" s="115">
        <f>ROW()</f>
        <v>256</v>
      </c>
    </row>
    <row r="257" ht="12.75">
      <c r="A257" s="115">
        <f>ROW()</f>
        <v>257</v>
      </c>
    </row>
    <row r="258" ht="12.75">
      <c r="A258" s="115">
        <f>ROW()</f>
        <v>258</v>
      </c>
    </row>
    <row r="259" ht="12.75">
      <c r="A259" s="115">
        <f>ROW()</f>
        <v>259</v>
      </c>
    </row>
    <row r="260" ht="12.75">
      <c r="A260" s="115">
        <f>ROW()</f>
        <v>260</v>
      </c>
    </row>
    <row r="261" ht="12.75">
      <c r="A261" s="115">
        <f>ROW()</f>
        <v>261</v>
      </c>
    </row>
    <row r="262" ht="12.75">
      <c r="A262" s="115">
        <f>ROW()</f>
        <v>262</v>
      </c>
    </row>
    <row r="263" ht="12.75">
      <c r="A263" s="115">
        <f>ROW()</f>
        <v>263</v>
      </c>
    </row>
    <row r="264" ht="12.75">
      <c r="A264" s="115">
        <f>ROW()</f>
        <v>264</v>
      </c>
    </row>
    <row r="265" ht="12.75">
      <c r="A265" s="115">
        <f>ROW()</f>
        <v>265</v>
      </c>
    </row>
    <row r="266" ht="12.75">
      <c r="A266" s="115">
        <f>ROW()</f>
        <v>266</v>
      </c>
    </row>
    <row r="267" ht="12.75">
      <c r="A267" s="115">
        <f>ROW()</f>
        <v>267</v>
      </c>
    </row>
    <row r="268" ht="12.75">
      <c r="A268" s="115">
        <f>ROW()</f>
        <v>268</v>
      </c>
    </row>
    <row r="269" ht="12.75">
      <c r="A269" s="115">
        <f>ROW()</f>
        <v>269</v>
      </c>
    </row>
    <row r="270" ht="12.75">
      <c r="A270" s="115">
        <f>ROW()</f>
        <v>270</v>
      </c>
    </row>
    <row r="271" ht="12.75">
      <c r="A271" s="115">
        <f>ROW()</f>
        <v>271</v>
      </c>
    </row>
    <row r="272" ht="12.75">
      <c r="A272" s="115">
        <f>ROW()</f>
        <v>272</v>
      </c>
    </row>
    <row r="273" ht="12.75">
      <c r="A273" s="115">
        <f>ROW()</f>
        <v>273</v>
      </c>
    </row>
    <row r="274" ht="12.75">
      <c r="A274" s="115">
        <f>ROW()</f>
        <v>274</v>
      </c>
    </row>
    <row r="275" ht="12.75">
      <c r="A275" s="115">
        <f>ROW()</f>
        <v>275</v>
      </c>
    </row>
    <row r="276" ht="12.75">
      <c r="A276" s="115">
        <f>ROW()</f>
        <v>276</v>
      </c>
    </row>
    <row r="277" ht="12.75">
      <c r="A277" s="115">
        <f>ROW()</f>
        <v>277</v>
      </c>
    </row>
    <row r="278" ht="12.75">
      <c r="A278" s="115">
        <f>ROW()</f>
        <v>278</v>
      </c>
    </row>
    <row r="279" ht="12.75">
      <c r="A279" s="115">
        <f>ROW()</f>
        <v>279</v>
      </c>
    </row>
    <row r="280" ht="12.75">
      <c r="A280" s="115">
        <f>ROW()</f>
        <v>280</v>
      </c>
    </row>
    <row r="281" ht="12.75">
      <c r="A281" s="115">
        <f>ROW()</f>
        <v>281</v>
      </c>
    </row>
    <row r="282" ht="12.75">
      <c r="A282" s="115">
        <f>ROW()</f>
        <v>282</v>
      </c>
    </row>
    <row r="283" ht="12.75">
      <c r="A283" s="115">
        <f>ROW()</f>
        <v>283</v>
      </c>
    </row>
    <row r="284" ht="12.75">
      <c r="A284" s="115">
        <f>ROW()</f>
        <v>284</v>
      </c>
    </row>
    <row r="285" ht="12.75">
      <c r="A285" s="115">
        <f>ROW()</f>
        <v>285</v>
      </c>
    </row>
    <row r="286" ht="12.75">
      <c r="A286" s="115">
        <f>ROW()</f>
        <v>286</v>
      </c>
    </row>
    <row r="287" ht="12.75">
      <c r="A287" s="115">
        <f>ROW()</f>
        <v>287</v>
      </c>
    </row>
    <row r="288" ht="12.75">
      <c r="A288" s="115">
        <f>ROW()</f>
        <v>288</v>
      </c>
    </row>
    <row r="289" ht="12.75">
      <c r="A289" s="115">
        <f>ROW()</f>
        <v>289</v>
      </c>
    </row>
    <row r="290" ht="12.75">
      <c r="A290" s="115">
        <f>ROW()</f>
        <v>290</v>
      </c>
    </row>
    <row r="291" ht="12.75">
      <c r="A291" s="115">
        <f>ROW()</f>
        <v>291</v>
      </c>
    </row>
    <row r="292" ht="12.75">
      <c r="A292" s="115">
        <f>ROW()</f>
        <v>292</v>
      </c>
    </row>
    <row r="293" ht="12.75">
      <c r="A293" s="115">
        <f>ROW()</f>
        <v>293</v>
      </c>
    </row>
    <row r="294" ht="12.75">
      <c r="A294" s="115">
        <f>ROW()</f>
        <v>294</v>
      </c>
    </row>
    <row r="295" ht="12.75">
      <c r="A295" s="115">
        <f>ROW()</f>
        <v>295</v>
      </c>
    </row>
    <row r="296" ht="12.75">
      <c r="A296" s="115">
        <f>ROW()</f>
        <v>296</v>
      </c>
    </row>
    <row r="297" ht="12.75">
      <c r="A297" s="115">
        <f>ROW()</f>
        <v>297</v>
      </c>
    </row>
    <row r="298" ht="12.75">
      <c r="A298" s="115">
        <f>ROW()</f>
        <v>298</v>
      </c>
    </row>
    <row r="299" ht="12.75">
      <c r="A299" s="115">
        <f>ROW()</f>
        <v>299</v>
      </c>
    </row>
    <row r="300" ht="12.75">
      <c r="A300" s="115">
        <f>ROW()</f>
        <v>300</v>
      </c>
    </row>
    <row r="301" ht="12.75">
      <c r="A301" s="115">
        <f>ROW()</f>
        <v>301</v>
      </c>
    </row>
    <row r="302" ht="12.75">
      <c r="A302" s="115">
        <f>ROW()</f>
        <v>302</v>
      </c>
    </row>
    <row r="303" ht="12.75">
      <c r="A303" s="115">
        <f>ROW()</f>
        <v>303</v>
      </c>
    </row>
    <row r="304" ht="12.75">
      <c r="A304" s="115">
        <f>ROW()</f>
        <v>304</v>
      </c>
    </row>
    <row r="305" ht="12.75">
      <c r="A305" s="115">
        <f>ROW()</f>
        <v>305</v>
      </c>
    </row>
    <row r="306" ht="12.75">
      <c r="A306" s="115">
        <f>ROW()</f>
        <v>306</v>
      </c>
    </row>
    <row r="307" ht="12.75">
      <c r="A307" s="115">
        <f>ROW()</f>
        <v>307</v>
      </c>
    </row>
    <row r="308" ht="12.75">
      <c r="A308" s="115">
        <f>ROW()</f>
        <v>308</v>
      </c>
    </row>
    <row r="309" ht="12.75">
      <c r="A309" s="115">
        <f>ROW()</f>
        <v>309</v>
      </c>
    </row>
    <row r="310" ht="12.75">
      <c r="A310" s="115">
        <f>ROW()</f>
        <v>310</v>
      </c>
    </row>
    <row r="311" ht="12.75">
      <c r="A311" s="115">
        <f>ROW()</f>
        <v>311</v>
      </c>
    </row>
    <row r="312" ht="12.75">
      <c r="A312" s="115">
        <f>ROW()</f>
        <v>312</v>
      </c>
    </row>
    <row r="313" ht="12.75">
      <c r="A313" s="115">
        <f>ROW()</f>
        <v>313</v>
      </c>
    </row>
    <row r="314" ht="12.75">
      <c r="A314" s="115">
        <f>ROW()</f>
        <v>314</v>
      </c>
    </row>
    <row r="315" ht="12.75">
      <c r="A315" s="115">
        <f>ROW()</f>
        <v>315</v>
      </c>
    </row>
    <row r="316" ht="12.75">
      <c r="A316" s="115">
        <f>ROW()</f>
        <v>316</v>
      </c>
    </row>
    <row r="317" ht="12.75">
      <c r="A317" s="115">
        <f>ROW()</f>
        <v>317</v>
      </c>
    </row>
    <row r="318" ht="12.75">
      <c r="A318" s="115">
        <f>ROW()</f>
        <v>318</v>
      </c>
    </row>
    <row r="319" ht="12.75">
      <c r="A319" s="115">
        <f>ROW()</f>
        <v>319</v>
      </c>
    </row>
    <row r="320" ht="12.75">
      <c r="A320" s="115">
        <f>ROW()</f>
        <v>320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3" r:id="rId1"/>
  <headerFooter alignWithMargins="0">
    <oddFooter>&amp;L&amp;A&amp;C&amp;F&amp;R&amp;P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N391"/>
  <sheetViews>
    <sheetView showGridLines="0" zoomScale="75" zoomScaleNormal="75" zoomScaleSheetLayoutView="100" zoomScalePageLayoutView="0" workbookViewId="0" topLeftCell="A142">
      <selection activeCell="K171" sqref="K171"/>
    </sheetView>
  </sheetViews>
  <sheetFormatPr defaultColWidth="9.140625" defaultRowHeight="12.75"/>
  <cols>
    <col min="2" max="2" width="49.421875" style="0" customWidth="1"/>
    <col min="3" max="3" width="19.140625" style="0" bestFit="1" customWidth="1"/>
    <col min="4" max="9" width="11.28125" style="0" customWidth="1"/>
    <col min="10" max="14" width="9.28125" style="0" bestFit="1" customWidth="1"/>
  </cols>
  <sheetData>
    <row r="1" spans="3:14" ht="12.75">
      <c r="C1" s="5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3:10" ht="13.5">
      <c r="C2" s="151"/>
      <c r="D2" s="56"/>
      <c r="E2" s="56"/>
      <c r="F2" s="56"/>
      <c r="G2" s="56"/>
      <c r="H2" s="56"/>
      <c r="I2" s="56"/>
      <c r="J2" s="56"/>
    </row>
    <row r="3" spans="3:10" ht="12.75">
      <c r="C3" s="152"/>
      <c r="D3" s="152"/>
      <c r="E3" s="152"/>
      <c r="F3" s="152"/>
      <c r="G3" s="152"/>
      <c r="H3" s="152"/>
      <c r="I3" s="56"/>
      <c r="J3" s="56"/>
    </row>
    <row r="4" spans="3:10" ht="12.75">
      <c r="C4" s="153"/>
      <c r="D4" s="153"/>
      <c r="E4" s="153"/>
      <c r="F4" s="153"/>
      <c r="G4" s="153"/>
      <c r="H4" s="153"/>
      <c r="I4" s="56"/>
      <c r="J4" s="56"/>
    </row>
    <row r="5" spans="2:10" ht="13.5">
      <c r="B5" s="147" t="s">
        <v>134</v>
      </c>
      <c r="C5" s="56"/>
      <c r="D5" s="56"/>
      <c r="E5" s="56"/>
      <c r="F5" s="56"/>
      <c r="G5" s="56"/>
      <c r="H5" s="56"/>
      <c r="I5" s="56"/>
      <c r="J5" s="56"/>
    </row>
    <row r="6" spans="3:10" ht="13.5" thickBot="1">
      <c r="C6" s="56"/>
      <c r="D6" s="56"/>
      <c r="E6" s="56"/>
      <c r="F6" s="56"/>
      <c r="G6" s="56"/>
      <c r="H6" s="56"/>
      <c r="I6" s="56"/>
      <c r="J6" s="56"/>
    </row>
    <row r="7" spans="2:10" ht="12.75">
      <c r="B7" s="200">
        <v>2005</v>
      </c>
      <c r="C7" s="200">
        <v>2006</v>
      </c>
      <c r="D7" s="200">
        <v>2007</v>
      </c>
      <c r="E7" s="200">
        <v>2008</v>
      </c>
      <c r="F7" s="200">
        <v>2009</v>
      </c>
      <c r="G7" s="200">
        <v>2010</v>
      </c>
      <c r="H7" s="56"/>
      <c r="I7" s="56"/>
      <c r="J7" s="56"/>
    </row>
    <row r="8" spans="2:10" ht="12.75">
      <c r="B8" s="318">
        <f>CAPEX!L5</f>
        <v>0.03977669225401237</v>
      </c>
      <c r="C8" s="318">
        <f>CAPEX!M5</f>
        <v>0.043624161073825496</v>
      </c>
      <c r="D8" s="318">
        <f>CAPEX!N5</f>
        <v>0.03022508038585192</v>
      </c>
      <c r="E8" s="318">
        <f>CAPEX!O5</f>
        <v>0.03745318352059934</v>
      </c>
      <c r="F8" s="318">
        <f>CAPEX!P5</f>
        <v>0.02105896510228633</v>
      </c>
      <c r="G8" s="318">
        <f>CAPEX!Q5</f>
        <v>0.025928108426635177</v>
      </c>
      <c r="H8" s="152"/>
      <c r="I8" s="152"/>
      <c r="J8" s="152"/>
    </row>
    <row r="9" spans="3:10" ht="12.75" customHeight="1">
      <c r="C9" s="394"/>
      <c r="D9" s="394"/>
      <c r="E9" s="394"/>
      <c r="F9" s="394"/>
      <c r="G9" s="394"/>
      <c r="H9" s="394"/>
      <c r="I9" s="394"/>
      <c r="J9" s="394"/>
    </row>
    <row r="10" spans="2:10" ht="13.5">
      <c r="B10" s="147" t="s">
        <v>66</v>
      </c>
      <c r="C10" s="154"/>
      <c r="D10" s="155"/>
      <c r="E10" s="155"/>
      <c r="F10" s="155"/>
      <c r="G10" s="155"/>
      <c r="H10" s="155"/>
      <c r="I10" s="155"/>
      <c r="J10" s="156"/>
    </row>
    <row r="11" spans="3:10" ht="13.5" thickBot="1">
      <c r="C11" s="154"/>
      <c r="D11" s="155"/>
      <c r="E11" s="155"/>
      <c r="F11" s="155"/>
      <c r="G11" s="155"/>
      <c r="H11" s="155"/>
      <c r="I11" s="155"/>
      <c r="J11" s="152"/>
    </row>
    <row r="12" spans="2:10" ht="16.5" customHeight="1" thickBot="1">
      <c r="B12" s="148" t="s">
        <v>60</v>
      </c>
      <c r="C12" s="149">
        <v>2005</v>
      </c>
      <c r="D12" s="149">
        <v>2006</v>
      </c>
      <c r="E12" s="149">
        <v>2007</v>
      </c>
      <c r="F12" s="149">
        <v>2008</v>
      </c>
      <c r="G12" s="149">
        <v>2009</v>
      </c>
      <c r="H12" s="149">
        <v>2010</v>
      </c>
      <c r="I12" s="149" t="s">
        <v>15</v>
      </c>
      <c r="J12" s="152"/>
    </row>
    <row r="13" spans="2:10" ht="12.75">
      <c r="B13" s="167" t="s">
        <v>61</v>
      </c>
      <c r="C13" s="154"/>
      <c r="D13" s="155"/>
      <c r="E13" s="155"/>
      <c r="F13" s="155"/>
      <c r="G13" s="155"/>
      <c r="H13" s="155"/>
      <c r="I13" s="155"/>
      <c r="J13" s="152"/>
    </row>
    <row r="14" spans="2:10" ht="12.75">
      <c r="B14" s="185" t="s">
        <v>62</v>
      </c>
      <c r="C14" s="320">
        <f>CAPEX!L10+CAPEX!L20</f>
        <v>8.08195927</v>
      </c>
      <c r="D14" s="320">
        <f>CAPEX!M10+CAPEX!M20</f>
        <v>232.76471212999996</v>
      </c>
      <c r="E14" s="320">
        <f>CAPEX!N10+CAPEX!N20</f>
        <v>2.80697076</v>
      </c>
      <c r="F14" s="320">
        <f>CAPEX!O10+CAPEX!O20</f>
        <v>493.54175513999996</v>
      </c>
      <c r="G14" s="320">
        <f>CAPEX!P10+CAPEX!P20</f>
        <v>0</v>
      </c>
      <c r="H14" s="320">
        <f>CAPEX!Q10+CAPEX!Q20</f>
        <v>489.95989998000005</v>
      </c>
      <c r="I14" s="186">
        <f>SUM(C14:H14)</f>
        <v>1227.15529728</v>
      </c>
      <c r="J14" s="214"/>
    </row>
    <row r="15" spans="2:10" ht="12.75" customHeight="1">
      <c r="B15" s="185" t="s">
        <v>63</v>
      </c>
      <c r="C15" s="320">
        <f>CAPEX!L11+CAPEX!L21</f>
        <v>41.21632278</v>
      </c>
      <c r="D15" s="320">
        <f>CAPEX!M11+CAPEX!M21</f>
        <v>153.70189397999997</v>
      </c>
      <c r="E15" s="320">
        <f>CAPEX!N11+CAPEX!N21</f>
        <v>0.13571847999999997</v>
      </c>
      <c r="F15" s="320">
        <f>CAPEX!O11+CAPEX!O21</f>
        <v>126.82707395999999</v>
      </c>
      <c r="G15" s="320">
        <f>CAPEX!P11+CAPEX!P21</f>
        <v>5.0681472</v>
      </c>
      <c r="H15" s="320">
        <f>CAPEX!Q11+CAPEX!Q21</f>
        <v>52.260917140000004</v>
      </c>
      <c r="I15" s="186">
        <f>SUM(C15:H15)</f>
        <v>379.21007353999994</v>
      </c>
      <c r="J15" s="215"/>
    </row>
    <row r="16" spans="2:10" ht="12.75">
      <c r="B16" s="185" t="s">
        <v>64</v>
      </c>
      <c r="C16" s="320">
        <f>CAPEX!L12+CAPEX!L22</f>
        <v>1.82858475</v>
      </c>
      <c r="D16" s="320">
        <f>CAPEX!M12+CAPEX!M22</f>
        <v>3.1245166699999998</v>
      </c>
      <c r="E16" s="320">
        <f>CAPEX!N12+CAPEX!N22</f>
        <v>4.914626660000001</v>
      </c>
      <c r="F16" s="320">
        <f>CAPEX!O12+CAPEX!O22</f>
        <v>1.50386908</v>
      </c>
      <c r="G16" s="320">
        <f>CAPEX!P12+CAPEX!P22</f>
        <v>1.2538608400000002</v>
      </c>
      <c r="H16" s="320">
        <f>CAPEX!Q12+CAPEX!Q22</f>
        <v>5.72326553</v>
      </c>
      <c r="I16" s="186">
        <f>SUM(C16:H16)</f>
        <v>18.348723529999997</v>
      </c>
      <c r="J16" s="199"/>
    </row>
    <row r="17" spans="2:10" ht="12.75">
      <c r="B17" s="185" t="s">
        <v>65</v>
      </c>
      <c r="C17" s="320">
        <f>CAPEX!L13+CAPEX!L23</f>
        <v>3.6353824499999994</v>
      </c>
      <c r="D17" s="320">
        <f>CAPEX!M13+CAPEX!M23</f>
        <v>0.7854980600000001</v>
      </c>
      <c r="E17" s="320">
        <f>CAPEX!N13+CAPEX!N23</f>
        <v>2.14948774</v>
      </c>
      <c r="F17" s="320">
        <f>CAPEX!O13+CAPEX!O23</f>
        <v>5.63557498</v>
      </c>
      <c r="G17" s="320">
        <f>CAPEX!P13+CAPEX!P23</f>
        <v>0.5442926000000001</v>
      </c>
      <c r="H17" s="320">
        <f>CAPEX!Q13+CAPEX!Q23</f>
        <v>75.35872932000004</v>
      </c>
      <c r="I17" s="186">
        <f>SUM(C17:H17)</f>
        <v>88.10896515000003</v>
      </c>
      <c r="J17" s="199"/>
    </row>
    <row r="18" spans="2:10" ht="12.75">
      <c r="B18" s="187" t="s">
        <v>20</v>
      </c>
      <c r="C18" s="188">
        <f>SUM(C14:C17)</f>
        <v>54.762249249999996</v>
      </c>
      <c r="D18" s="188">
        <f aca="true" t="shared" si="0" ref="D18:I18">SUM(D14:D17)</f>
        <v>390.37662083999993</v>
      </c>
      <c r="E18" s="188">
        <f t="shared" si="0"/>
        <v>10.006803640000001</v>
      </c>
      <c r="F18" s="188">
        <f t="shared" si="0"/>
        <v>627.5082731599999</v>
      </c>
      <c r="G18" s="188">
        <f t="shared" si="0"/>
        <v>6.86630064</v>
      </c>
      <c r="H18" s="188">
        <f t="shared" si="0"/>
        <v>623.3028119700001</v>
      </c>
      <c r="I18" s="188">
        <f t="shared" si="0"/>
        <v>1712.8230595</v>
      </c>
      <c r="J18" s="199"/>
    </row>
    <row r="19" spans="2:10" ht="12.75">
      <c r="B19" s="184" t="s">
        <v>252</v>
      </c>
      <c r="C19" s="321"/>
      <c r="D19" s="321"/>
      <c r="E19" s="321"/>
      <c r="F19" s="321"/>
      <c r="G19" s="321"/>
      <c r="H19" s="321"/>
      <c r="I19" s="175"/>
      <c r="J19" s="199"/>
    </row>
    <row r="20" spans="2:10" ht="12.75">
      <c r="B20" s="185" t="s">
        <v>62</v>
      </c>
      <c r="C20" s="322">
        <f>CAPEX!L49+CAPEX!L60</f>
        <v>9.443416838302014</v>
      </c>
      <c r="D20" s="322">
        <f>CAPEX!M49+CAPEX!M60</f>
        <v>260.60666483493884</v>
      </c>
      <c r="E20" s="322">
        <f>CAPEX!N49+CAPEX!N60</f>
        <v>3.0505219058426967</v>
      </c>
      <c r="F20" s="322">
        <f>CAPEX!O49+CAPEX!O60</f>
        <v>517.0013211183754</v>
      </c>
      <c r="G20" s="322">
        <f>CAPEX!P49+CAPEX!P60</f>
        <v>0</v>
      </c>
      <c r="H20" s="322">
        <f>CAPEX!Q49+CAPEX!Q60</f>
        <v>489.95989998000005</v>
      </c>
      <c r="I20" s="186">
        <f>SUM(C20:H20)</f>
        <v>1280.0618246774588</v>
      </c>
      <c r="J20" s="199"/>
    </row>
    <row r="21" spans="2:10" ht="17.25" customHeight="1">
      <c r="B21" s="185" t="s">
        <v>63</v>
      </c>
      <c r="C21" s="322">
        <f>CAPEX!L50+CAPEX!L61</f>
        <v>44.05954090221913</v>
      </c>
      <c r="D21" s="322">
        <f>CAPEX!M50+CAPEX!M61</f>
        <v>172.08681506056587</v>
      </c>
      <c r="E21" s="322">
        <f>CAPEX!N50+CAPEX!N61</f>
        <v>0.14749430317103618</v>
      </c>
      <c r="F21" s="322">
        <f>CAPEX!O50+CAPEX!O61</f>
        <v>132.85555701826712</v>
      </c>
      <c r="G21" s="322">
        <f>CAPEX!P50+CAPEX!P61</f>
        <v>5.199554670123748</v>
      </c>
      <c r="H21" s="322">
        <f>CAPEX!Q50+CAPEX!Q61</f>
        <v>52.260917140000004</v>
      </c>
      <c r="I21" s="186">
        <f>SUM(C21:H21)</f>
        <v>406.6098790943469</v>
      </c>
      <c r="J21" s="117"/>
    </row>
    <row r="22" spans="2:10" ht="12.75">
      <c r="B22" s="185" t="s">
        <v>64</v>
      </c>
      <c r="C22" s="322">
        <f>CAPEX!L51+CAPEX!L62</f>
        <v>2.136621509899329</v>
      </c>
      <c r="D22" s="322">
        <f>CAPEX!M51+CAPEX!M62</f>
        <v>3.4982530691125397</v>
      </c>
      <c r="E22" s="322">
        <f>CAPEX!N51+CAPEX!N62</f>
        <v>5.341051819637953</v>
      </c>
      <c r="F22" s="322">
        <f>CAPEX!O51+CAPEX!O62</f>
        <v>1.5753526283273165</v>
      </c>
      <c r="G22" s="322">
        <f>CAPEX!P51+CAPEX!P62</f>
        <v>1.286371079811432</v>
      </c>
      <c r="H22" s="322">
        <f>CAPEX!Q51+CAPEX!Q62</f>
        <v>5.72326553</v>
      </c>
      <c r="I22" s="186">
        <f>SUM(C22:H22)</f>
        <v>19.560915636788568</v>
      </c>
      <c r="J22" s="117"/>
    </row>
    <row r="23" spans="2:10" ht="13.5">
      <c r="B23" s="185" t="s">
        <v>65</v>
      </c>
      <c r="C23" s="322">
        <f>CAPEX!L52+CAPEX!L63</f>
        <v>0.07313338527708008</v>
      </c>
      <c r="D23" s="322">
        <f>CAPEX!M52+CAPEX!M63</f>
        <v>0.8794547411318329</v>
      </c>
      <c r="E23" s="322">
        <f>CAPEX!N52+CAPEX!N63</f>
        <v>2.2989824401765366</v>
      </c>
      <c r="F23" s="322">
        <f>CAPEX!O52+CAPEX!O63</f>
        <v>5.875269198507706</v>
      </c>
      <c r="G23" s="322">
        <f>CAPEX!P52+CAPEX!P63</f>
        <v>0.4706425898000289</v>
      </c>
      <c r="H23" s="322">
        <f>CAPEX!Q52+CAPEX!Q63</f>
        <v>75.34833448454228</v>
      </c>
      <c r="I23" s="186">
        <f>SUM(C23:H23)</f>
        <v>84.94581683943547</v>
      </c>
      <c r="J23" s="198"/>
    </row>
    <row r="24" spans="2:10" ht="13.5">
      <c r="B24" s="185" t="s">
        <v>20</v>
      </c>
      <c r="C24" s="188">
        <f>SUM(C20:C23)</f>
        <v>55.71271263569756</v>
      </c>
      <c r="D24" s="188">
        <f aca="true" t="shared" si="1" ref="D24:I24">SUM(D20:D23)</f>
        <v>437.0711877057491</v>
      </c>
      <c r="E24" s="188">
        <f t="shared" si="1"/>
        <v>10.838050468828222</v>
      </c>
      <c r="F24" s="188">
        <f t="shared" si="1"/>
        <v>657.3074999634775</v>
      </c>
      <c r="G24" s="188">
        <f t="shared" si="1"/>
        <v>6.956568339735209</v>
      </c>
      <c r="H24" s="188">
        <f t="shared" si="1"/>
        <v>623.2924171345423</v>
      </c>
      <c r="I24" s="188">
        <f t="shared" si="1"/>
        <v>1791.17843624803</v>
      </c>
      <c r="J24" s="198"/>
    </row>
    <row r="25" spans="3:10" ht="12.75">
      <c r="C25" s="395"/>
      <c r="D25" s="395"/>
      <c r="E25" s="395"/>
      <c r="F25" s="395"/>
      <c r="G25" s="395"/>
      <c r="H25" s="395"/>
      <c r="I25" s="395"/>
      <c r="J25" s="395"/>
    </row>
    <row r="26" spans="1:10" ht="14.25" thickBot="1">
      <c r="A26" s="10"/>
      <c r="B26" s="147" t="s">
        <v>67</v>
      </c>
      <c r="C26" s="159"/>
      <c r="D26" s="159"/>
      <c r="E26" s="159"/>
      <c r="F26" s="159"/>
      <c r="G26" s="159"/>
      <c r="H26" s="159"/>
      <c r="I26" s="159"/>
      <c r="J26" s="159"/>
    </row>
    <row r="27" spans="1:10" ht="12.75">
      <c r="A27" s="10"/>
      <c r="B27" s="150" t="s">
        <v>60</v>
      </c>
      <c r="C27" s="179">
        <v>2005</v>
      </c>
      <c r="D27" s="179">
        <v>2006</v>
      </c>
      <c r="E27" s="179">
        <v>2007</v>
      </c>
      <c r="F27" s="179">
        <v>2008</v>
      </c>
      <c r="G27" s="179">
        <v>2009</v>
      </c>
      <c r="H27" s="179">
        <v>2010</v>
      </c>
      <c r="I27" s="179" t="s">
        <v>20</v>
      </c>
      <c r="J27" s="159"/>
    </row>
    <row r="28" spans="1:10" ht="12.75">
      <c r="A28" s="10"/>
      <c r="B28" s="176" t="s">
        <v>68</v>
      </c>
      <c r="C28" s="174"/>
      <c r="D28" s="174"/>
      <c r="E28" s="174"/>
      <c r="F28" s="174"/>
      <c r="G28" s="174"/>
      <c r="H28" s="174"/>
      <c r="I28" s="182"/>
      <c r="J28" s="183"/>
    </row>
    <row r="29" spans="1:10" ht="12.75">
      <c r="A29" s="10"/>
      <c r="B29" s="177" t="s">
        <v>203</v>
      </c>
      <c r="C29" s="249">
        <f>'Incentive Mechanism'!C7</f>
        <v>37.331</v>
      </c>
      <c r="D29" s="249">
        <f>'Incentive Mechanism'!D7</f>
        <v>39.5287567</v>
      </c>
      <c r="E29" s="249">
        <f>'Incentive Mechanism'!E7</f>
        <v>42.68882763</v>
      </c>
      <c r="F29" s="249">
        <f>'Incentive Mechanism'!F7</f>
        <v>55.881302829999996</v>
      </c>
      <c r="G29" s="249">
        <f>'Incentive Mechanism'!G7</f>
        <v>77.77945854999999</v>
      </c>
      <c r="H29" s="249">
        <f>68.75-2.331504</f>
        <v>66.418496</v>
      </c>
      <c r="I29" s="323">
        <f>SUM(C29:H29)</f>
        <v>319.62784171</v>
      </c>
      <c r="J29" s="183"/>
    </row>
    <row r="30" spans="1:10" ht="12.75">
      <c r="A30" s="10"/>
      <c r="B30" s="177" t="s">
        <v>223</v>
      </c>
      <c r="C30" s="246">
        <v>24.12</v>
      </c>
      <c r="D30" s="246">
        <v>21.43</v>
      </c>
      <c r="E30" s="246">
        <v>30.59</v>
      </c>
      <c r="F30" s="246">
        <v>15.15</v>
      </c>
      <c r="G30" s="246">
        <v>18.62</v>
      </c>
      <c r="H30" s="246">
        <v>21.51</v>
      </c>
      <c r="I30" s="297">
        <f aca="true" t="shared" si="2" ref="I30:I35">SUM(C30:H30)</f>
        <v>131.42000000000002</v>
      </c>
      <c r="J30" s="183"/>
    </row>
    <row r="31" spans="1:10" ht="12.75">
      <c r="A31" s="10"/>
      <c r="B31" s="178" t="s">
        <v>20</v>
      </c>
      <c r="C31" s="251">
        <f aca="true" t="shared" si="3" ref="C31:H31">SUM(C29:C30)</f>
        <v>61.45100000000001</v>
      </c>
      <c r="D31" s="251">
        <f t="shared" si="3"/>
        <v>60.9587567</v>
      </c>
      <c r="E31" s="251">
        <f t="shared" si="3"/>
        <v>73.27882763</v>
      </c>
      <c r="F31" s="251">
        <f t="shared" si="3"/>
        <v>71.03130283</v>
      </c>
      <c r="G31" s="251">
        <f t="shared" si="3"/>
        <v>96.39945854999999</v>
      </c>
      <c r="H31" s="251">
        <f t="shared" si="3"/>
        <v>87.92849600000001</v>
      </c>
      <c r="I31" s="323">
        <f t="shared" si="2"/>
        <v>451.04784170999994</v>
      </c>
      <c r="J31" s="183"/>
    </row>
    <row r="32" spans="1:10" ht="12.75">
      <c r="A32" s="10"/>
      <c r="B32" s="180" t="s">
        <v>69</v>
      </c>
      <c r="C32" s="181"/>
      <c r="D32" s="181"/>
      <c r="E32" s="181"/>
      <c r="F32" s="181"/>
      <c r="G32" s="181"/>
      <c r="H32" s="181"/>
      <c r="I32" s="297"/>
      <c r="J32" s="183"/>
    </row>
    <row r="33" spans="1:10" ht="12.75">
      <c r="A33" s="10"/>
      <c r="B33" s="177" t="s">
        <v>203</v>
      </c>
      <c r="C33" s="249">
        <f>C29*CAPEX!L$48</f>
        <v>43.619644966442955</v>
      </c>
      <c r="D33" s="249">
        <f>D29*CAPEX!M$48</f>
        <v>44.25695525061093</v>
      </c>
      <c r="E33" s="249">
        <f>E29*CAPEX!N$48</f>
        <v>46.39278957792135</v>
      </c>
      <c r="F33" s="249">
        <f>F29*CAPEX!O$48</f>
        <v>58.53751397534897</v>
      </c>
      <c r="G33" s="249">
        <f>G29*CAPEX!P$48</f>
        <v>79.79613278464936</v>
      </c>
      <c r="H33" s="249">
        <f>H29*CAPEX!Q$48</f>
        <v>66.418496</v>
      </c>
      <c r="I33" s="319">
        <f t="shared" si="2"/>
        <v>339.02153255497353</v>
      </c>
      <c r="J33" s="56"/>
    </row>
    <row r="34" spans="1:10" ht="12.75">
      <c r="A34" s="10"/>
      <c r="B34" s="177" t="s">
        <v>223</v>
      </c>
      <c r="C34" s="249">
        <f>C30*CAPEX!L$48</f>
        <v>28.1831677852349</v>
      </c>
      <c r="D34" s="249">
        <f>D30*CAPEX!M$48</f>
        <v>23.99333118971061</v>
      </c>
      <c r="E34" s="249">
        <f>E30*CAPEX!N$48</f>
        <v>33.244188514357056</v>
      </c>
      <c r="F34" s="249">
        <f>F30*CAPEX!O$48</f>
        <v>15.870126353790614</v>
      </c>
      <c r="G34" s="249">
        <f>G30*CAPEX!P$48</f>
        <v>19.10278137890395</v>
      </c>
      <c r="H34" s="249">
        <f>H30*CAPEX!Q$48</f>
        <v>21.51</v>
      </c>
      <c r="I34" s="319">
        <f t="shared" si="2"/>
        <v>141.9035952219971</v>
      </c>
      <c r="J34" s="56"/>
    </row>
    <row r="35" spans="1:10" ht="12.75">
      <c r="A35" s="10"/>
      <c r="B35" s="178" t="s">
        <v>20</v>
      </c>
      <c r="C35" s="251">
        <f aca="true" t="shared" si="4" ref="C35:H35">SUM(C33:C34)</f>
        <v>71.80281275167786</v>
      </c>
      <c r="D35" s="251">
        <f t="shared" si="4"/>
        <v>68.25028644032153</v>
      </c>
      <c r="E35" s="251">
        <f t="shared" si="4"/>
        <v>79.63697809227841</v>
      </c>
      <c r="F35" s="251">
        <f t="shared" si="4"/>
        <v>74.40764032913958</v>
      </c>
      <c r="G35" s="251">
        <f t="shared" si="4"/>
        <v>98.89891416355331</v>
      </c>
      <c r="H35" s="251">
        <f t="shared" si="4"/>
        <v>87.92849600000001</v>
      </c>
      <c r="I35" s="319">
        <f t="shared" si="2"/>
        <v>480.9251277769707</v>
      </c>
      <c r="J35" s="56"/>
    </row>
    <row r="36" spans="1:10" ht="12.75">
      <c r="A36" s="10"/>
      <c r="C36" s="157"/>
      <c r="D36" s="158"/>
      <c r="E36" s="158"/>
      <c r="F36" s="158"/>
      <c r="G36" s="158"/>
      <c r="H36" s="158"/>
      <c r="I36" s="158"/>
      <c r="J36" s="56"/>
    </row>
    <row r="37" spans="1:10" ht="14.25" thickBot="1">
      <c r="A37" s="10"/>
      <c r="B37" s="147" t="s">
        <v>141</v>
      </c>
      <c r="C37" s="159"/>
      <c r="D37" s="159"/>
      <c r="E37" s="159"/>
      <c r="F37" s="159"/>
      <c r="G37" s="159"/>
      <c r="H37" s="159"/>
      <c r="I37" s="159"/>
      <c r="J37" s="56"/>
    </row>
    <row r="38" spans="1:10" ht="12.75">
      <c r="A38" s="10"/>
      <c r="B38" s="338"/>
      <c r="C38" s="247" t="s">
        <v>135</v>
      </c>
      <c r="D38" s="247"/>
      <c r="E38" s="247"/>
      <c r="F38" s="247"/>
      <c r="G38" s="247"/>
      <c r="H38" s="247"/>
      <c r="I38" s="160"/>
      <c r="J38" s="56"/>
    </row>
    <row r="39" spans="1:5" ht="12.75">
      <c r="A39" s="10"/>
      <c r="B39" s="339" t="s">
        <v>136</v>
      </c>
      <c r="C39" s="340">
        <v>560.37</v>
      </c>
      <c r="D39" s="159"/>
      <c r="E39" s="56"/>
    </row>
    <row r="40" spans="1:5" ht="12.75">
      <c r="A40" s="10"/>
      <c r="B40" s="339" t="s">
        <v>137</v>
      </c>
      <c r="C40" s="340">
        <v>894.04</v>
      </c>
      <c r="D40" s="159"/>
      <c r="E40" s="56"/>
    </row>
    <row r="41" spans="1:5" ht="12.75">
      <c r="A41" s="10"/>
      <c r="B41" s="339" t="s">
        <v>138</v>
      </c>
      <c r="C41" s="340">
        <v>627.04</v>
      </c>
      <c r="D41" s="159"/>
      <c r="E41" s="56"/>
    </row>
    <row r="42" spans="1:10" ht="12.75">
      <c r="A42" s="10"/>
      <c r="B42" s="10"/>
      <c r="C42" s="159"/>
      <c r="D42" s="159"/>
      <c r="E42" s="159"/>
      <c r="F42" s="159"/>
      <c r="G42" s="159"/>
      <c r="H42" s="159"/>
      <c r="I42" s="159"/>
      <c r="J42" s="56"/>
    </row>
    <row r="43" spans="1:10" ht="14.25" thickBot="1">
      <c r="A43" s="10"/>
      <c r="B43" s="329" t="s">
        <v>140</v>
      </c>
      <c r="C43" s="159"/>
      <c r="D43" s="159"/>
      <c r="E43" s="159"/>
      <c r="F43" s="159"/>
      <c r="G43" s="159"/>
      <c r="H43" s="159"/>
      <c r="I43" s="159"/>
      <c r="J43" s="56"/>
    </row>
    <row r="44" spans="1:13" ht="12.75">
      <c r="A44" s="10"/>
      <c r="B44" s="338"/>
      <c r="C44" s="247" t="s">
        <v>135</v>
      </c>
      <c r="D44" s="247"/>
      <c r="E44" s="171"/>
      <c r="F44" s="171"/>
      <c r="G44" s="171"/>
      <c r="H44" s="247"/>
      <c r="I44" s="154"/>
      <c r="J44" s="56"/>
      <c r="M44" t="s">
        <v>94</v>
      </c>
    </row>
    <row r="45" spans="1:5" ht="12.75">
      <c r="A45" s="10"/>
      <c r="B45" s="339" t="s">
        <v>136</v>
      </c>
      <c r="C45" s="341">
        <v>52.27</v>
      </c>
      <c r="D45" s="56"/>
      <c r="E45" s="56"/>
    </row>
    <row r="46" spans="1:5" ht="12.75">
      <c r="A46" s="10"/>
      <c r="B46" s="339" t="s">
        <v>139</v>
      </c>
      <c r="C46" s="341">
        <v>137.24</v>
      </c>
      <c r="D46" s="56"/>
      <c r="E46" s="56"/>
    </row>
    <row r="47" spans="1:5" ht="12.75">
      <c r="A47" s="10"/>
      <c r="B47" s="339" t="s">
        <v>138</v>
      </c>
      <c r="C47" s="341">
        <v>77.23</v>
      </c>
      <c r="D47" s="56"/>
      <c r="E47" s="56"/>
    </row>
    <row r="48" spans="1:10" ht="12.75">
      <c r="A48" s="10"/>
      <c r="B48" s="10"/>
      <c r="C48" s="158"/>
      <c r="D48" s="158"/>
      <c r="E48" s="158"/>
      <c r="F48" s="158"/>
      <c r="G48" s="158"/>
      <c r="H48" s="158"/>
      <c r="I48" s="158"/>
      <c r="J48" s="158"/>
    </row>
    <row r="49" spans="1:10" ht="14.25" thickBot="1">
      <c r="A49" s="10"/>
      <c r="B49" s="329" t="s">
        <v>142</v>
      </c>
      <c r="C49" s="159"/>
      <c r="D49" s="155"/>
      <c r="E49" s="155"/>
      <c r="F49" s="155"/>
      <c r="G49" s="155"/>
      <c r="H49" s="155"/>
      <c r="I49" s="155"/>
      <c r="J49" s="152"/>
    </row>
    <row r="50" spans="1:10" ht="12.75">
      <c r="A50" s="10"/>
      <c r="B50" s="338"/>
      <c r="C50" s="247" t="s">
        <v>135</v>
      </c>
      <c r="D50" s="247"/>
      <c r="E50" s="171"/>
      <c r="F50" s="171"/>
      <c r="G50" s="171"/>
      <c r="H50" s="171"/>
      <c r="I50" s="155"/>
      <c r="J50" s="152"/>
    </row>
    <row r="51" spans="1:5" ht="12.75">
      <c r="A51" s="10"/>
      <c r="B51" s="339" t="s">
        <v>136</v>
      </c>
      <c r="C51" s="342">
        <v>0</v>
      </c>
      <c r="D51" s="155"/>
      <c r="E51" s="152"/>
    </row>
    <row r="52" spans="1:5" ht="12.75">
      <c r="A52" s="10"/>
      <c r="B52" s="339" t="s">
        <v>139</v>
      </c>
      <c r="C52" s="342">
        <v>136.67</v>
      </c>
      <c r="D52" s="155"/>
      <c r="E52" s="152"/>
    </row>
    <row r="53" spans="1:5" ht="12.75">
      <c r="A53" s="10"/>
      <c r="B53" s="339" t="s">
        <v>138</v>
      </c>
      <c r="C53" s="342">
        <v>93.8</v>
      </c>
      <c r="D53" s="152"/>
      <c r="E53" s="152"/>
    </row>
    <row r="54" spans="1:10" ht="12.75">
      <c r="A54" s="10"/>
      <c r="B54" s="10"/>
      <c r="C54" s="56"/>
      <c r="D54" s="56"/>
      <c r="E54" s="56"/>
      <c r="F54" s="56"/>
      <c r="G54" s="56"/>
      <c r="H54" s="56"/>
      <c r="I54" s="56"/>
      <c r="J54" s="56"/>
    </row>
    <row r="55" spans="1:10" ht="13.5">
      <c r="A55" s="10"/>
      <c r="B55" s="147" t="s">
        <v>90</v>
      </c>
      <c r="C55" s="159"/>
      <c r="D55" s="56"/>
      <c r="E55" s="56"/>
      <c r="F55" s="56"/>
      <c r="G55" s="56"/>
      <c r="H55" s="56"/>
      <c r="I55" s="56"/>
      <c r="J55" s="56"/>
    </row>
    <row r="56" spans="1:10" ht="12.75">
      <c r="A56" s="10"/>
      <c r="C56" s="159"/>
      <c r="D56" s="56"/>
      <c r="E56" s="56"/>
      <c r="F56" s="56"/>
      <c r="G56" s="56"/>
      <c r="H56" s="56"/>
      <c r="I56" s="56"/>
      <c r="J56" s="56"/>
    </row>
    <row r="57" spans="1:10" ht="15" customHeight="1">
      <c r="A57" s="10"/>
      <c r="B57" s="172"/>
      <c r="C57" s="391"/>
      <c r="D57" s="391"/>
      <c r="E57" s="391"/>
      <c r="F57" s="391"/>
      <c r="G57" s="391"/>
      <c r="H57" s="391"/>
      <c r="I57" s="391"/>
      <c r="J57" s="391"/>
    </row>
    <row r="58" spans="3:10" ht="13.5">
      <c r="C58" s="391"/>
      <c r="D58" s="391"/>
      <c r="E58" s="391"/>
      <c r="F58" s="391"/>
      <c r="G58" s="391"/>
      <c r="H58" s="391"/>
      <c r="I58" s="391"/>
      <c r="J58" s="391"/>
    </row>
    <row r="59" spans="2:10" ht="14.25" thickBot="1">
      <c r="B59" s="147" t="s">
        <v>216</v>
      </c>
      <c r="C59" s="158"/>
      <c r="D59" s="158"/>
      <c r="E59" s="158"/>
      <c r="F59" s="158"/>
      <c r="G59" s="158"/>
      <c r="H59" s="158"/>
      <c r="I59" s="158"/>
      <c r="J59" s="158"/>
    </row>
    <row r="60" spans="2:10" ht="12.75">
      <c r="B60" s="150" t="s">
        <v>60</v>
      </c>
      <c r="C60" s="173">
        <v>2005</v>
      </c>
      <c r="D60" s="173">
        <v>2006</v>
      </c>
      <c r="E60" s="173">
        <v>2007</v>
      </c>
      <c r="F60" s="173">
        <v>2008</v>
      </c>
      <c r="G60" s="173">
        <v>2009</v>
      </c>
      <c r="H60" s="173">
        <v>2010</v>
      </c>
      <c r="I60" s="161"/>
      <c r="J60" s="161"/>
    </row>
    <row r="61" spans="2:10" ht="12.75">
      <c r="B61" s="177" t="s">
        <v>70</v>
      </c>
      <c r="C61" s="249">
        <f>CAPEX!K107</f>
        <v>1942.4466062832496</v>
      </c>
      <c r="D61" s="249">
        <f>CAPEX!L107</f>
        <v>1942.2081484052553</v>
      </c>
      <c r="E61" s="249">
        <f>CAPEX!M107</f>
        <v>2325.1044836356236</v>
      </c>
      <c r="F61" s="249">
        <f>CAPEX!N107</f>
        <v>2280.807922392138</v>
      </c>
      <c r="G61" s="249">
        <f>CAPEX!O107</f>
        <v>2873.2822586647235</v>
      </c>
      <c r="H61" s="249">
        <f>CAPEX!P107</f>
        <v>2807.988202167287</v>
      </c>
      <c r="I61" s="161"/>
      <c r="J61" s="161"/>
    </row>
    <row r="62" spans="2:10" ht="12.75">
      <c r="B62" s="193" t="s">
        <v>71</v>
      </c>
      <c r="C62" s="250"/>
      <c r="D62" s="250"/>
      <c r="E62" s="250"/>
      <c r="F62" s="250"/>
      <c r="G62" s="250"/>
      <c r="H62" s="250"/>
      <c r="I62" s="161"/>
      <c r="J62" s="161"/>
    </row>
    <row r="63" spans="2:10" ht="12.75">
      <c r="B63" s="177" t="s">
        <v>72</v>
      </c>
      <c r="C63" s="249">
        <f aca="true" t="shared" si="5" ref="C63:H63">C77</f>
        <v>60.958829066999996</v>
      </c>
      <c r="D63" s="249">
        <f t="shared" si="5"/>
        <v>430.20959814008995</v>
      </c>
      <c r="E63" s="249">
        <f t="shared" si="5"/>
        <v>5.679381979787765</v>
      </c>
      <c r="F63" s="249">
        <f t="shared" si="5"/>
        <v>657.2405474541575</v>
      </c>
      <c r="G63" s="249">
        <f t="shared" si="5"/>
        <v>1.314999326676488</v>
      </c>
      <c r="H63" s="249">
        <f t="shared" si="5"/>
        <v>622.9578723000001</v>
      </c>
      <c r="I63" s="161"/>
      <c r="J63" s="161"/>
    </row>
    <row r="64" spans="2:10" ht="12.75">
      <c r="B64" s="177" t="s">
        <v>73</v>
      </c>
      <c r="C64" s="249">
        <f>CAPEX!L64</f>
        <v>3.028470224442953</v>
      </c>
      <c r="D64" s="249">
        <f>CAPEX!M64</f>
        <v>6.727409755183279</v>
      </c>
      <c r="E64" s="249">
        <f>CAPEX!N64</f>
        <v>7.145718472546817</v>
      </c>
      <c r="F64" s="249">
        <f>CAPEX!O64</f>
        <v>1.5778677552827918</v>
      </c>
      <c r="G64" s="249">
        <f>CAPEX!P64</f>
        <v>6.407770792857985</v>
      </c>
      <c r="H64" s="249">
        <f>CAPEX!Q64</f>
        <v>1.01100182</v>
      </c>
      <c r="I64" s="154"/>
      <c r="J64" s="154"/>
    </row>
    <row r="65" spans="2:10" ht="12.75">
      <c r="B65" s="194" t="s">
        <v>74</v>
      </c>
      <c r="C65" s="250"/>
      <c r="D65" s="250"/>
      <c r="E65" s="250"/>
      <c r="F65" s="250"/>
      <c r="G65" s="250"/>
      <c r="H65" s="250"/>
      <c r="I65" s="56"/>
      <c r="J65" s="56"/>
    </row>
    <row r="66" spans="2:10" ht="12.75">
      <c r="B66" s="177" t="s">
        <v>245</v>
      </c>
      <c r="C66" s="249">
        <f aca="true" t="shared" si="6" ref="C66:H66">C103</f>
        <v>10.532645969356066</v>
      </c>
      <c r="D66" s="249">
        <f t="shared" si="6"/>
        <v>0</v>
      </c>
      <c r="E66" s="249">
        <f t="shared" si="6"/>
        <v>0.03700891771360095</v>
      </c>
      <c r="F66" s="249">
        <f t="shared" si="6"/>
        <v>0.028182089205892633</v>
      </c>
      <c r="G66" s="249">
        <f t="shared" si="6"/>
        <v>0.08776248774858639</v>
      </c>
      <c r="H66" s="249">
        <f t="shared" si="6"/>
        <v>0.010394835457760375</v>
      </c>
      <c r="I66" s="161"/>
      <c r="J66" s="161"/>
    </row>
    <row r="67" spans="2:10" ht="12.75">
      <c r="B67" s="177" t="s">
        <v>75</v>
      </c>
      <c r="C67" s="249">
        <f>CAPEX!L99</f>
        <v>53.69311120008088</v>
      </c>
      <c r="D67" s="249">
        <f>CAPEX!M99</f>
        <v>54.04067266490491</v>
      </c>
      <c r="E67" s="249">
        <f>CAPEX!N99</f>
        <v>57.08465277810658</v>
      </c>
      <c r="F67" s="249">
        <f>CAPEX!O99</f>
        <v>66.31589684764916</v>
      </c>
      <c r="G67" s="249">
        <f>CAPEX!P99</f>
        <v>72.92906412922257</v>
      </c>
      <c r="H67" s="249">
        <f>CAPEX!Q99</f>
        <v>74.6599422223116</v>
      </c>
      <c r="I67" s="56"/>
      <c r="J67" s="56"/>
    </row>
    <row r="68" spans="2:10" ht="12.75">
      <c r="B68" s="187" t="s">
        <v>91</v>
      </c>
      <c r="C68" s="248">
        <f aca="true" t="shared" si="7" ref="C68:H68">C61+C63+C64-C67-C66</f>
        <v>1942.2081484052555</v>
      </c>
      <c r="D68" s="248">
        <f t="shared" si="7"/>
        <v>2325.1044836356236</v>
      </c>
      <c r="E68" s="248">
        <f t="shared" si="7"/>
        <v>2280.807922392138</v>
      </c>
      <c r="F68" s="248">
        <f t="shared" si="7"/>
        <v>2873.282258664723</v>
      </c>
      <c r="G68" s="248">
        <f t="shared" si="7"/>
        <v>2807.988202167287</v>
      </c>
      <c r="H68" s="248">
        <f t="shared" si="7"/>
        <v>3357.2867392295175</v>
      </c>
      <c r="I68" s="79"/>
      <c r="J68" s="56"/>
    </row>
    <row r="69" spans="1:10" ht="12.75">
      <c r="A69" s="10"/>
      <c r="C69" s="157"/>
      <c r="D69" s="158"/>
      <c r="E69" s="158"/>
      <c r="F69" s="158"/>
      <c r="G69" s="158"/>
      <c r="H69" s="158"/>
      <c r="I69" s="157"/>
      <c r="J69" s="158"/>
    </row>
    <row r="70" spans="1:2" ht="12.75" customHeight="1" thickBot="1">
      <c r="A70" s="10"/>
      <c r="B70" s="147" t="s">
        <v>217</v>
      </c>
    </row>
    <row r="71" spans="1:10" ht="12.75">
      <c r="A71" s="10"/>
      <c r="B71" s="179" t="s">
        <v>60</v>
      </c>
      <c r="C71" s="179">
        <v>2005</v>
      </c>
      <c r="D71" s="179">
        <v>2006</v>
      </c>
      <c r="E71" s="179">
        <v>2007</v>
      </c>
      <c r="F71" s="179">
        <v>2008</v>
      </c>
      <c r="G71" s="179">
        <v>2009</v>
      </c>
      <c r="H71" s="179">
        <v>2010</v>
      </c>
      <c r="I71" s="179" t="s">
        <v>20</v>
      </c>
      <c r="J71" s="159"/>
    </row>
    <row r="72" spans="1:10" ht="12.75">
      <c r="A72" s="10"/>
      <c r="B72" s="177" t="s">
        <v>76</v>
      </c>
      <c r="C72" s="226">
        <f>CAPEX!L10*CAPEX!L$48</f>
        <v>8.68584138166443</v>
      </c>
      <c r="D72" s="226">
        <f>CAPEX!M10*CAPEX!M$48</f>
        <v>257.3775081488681</v>
      </c>
      <c r="E72" s="226">
        <f>CAPEX!N10*CAPEX!N$48</f>
        <v>1.2458552529338327</v>
      </c>
      <c r="F72" s="226">
        <f>CAPEX!O10*CAPEX!O$48</f>
        <v>517.0013211183754</v>
      </c>
      <c r="G72" s="226">
        <f>CAPEX!P10*CAPEX!P$48</f>
        <v>0</v>
      </c>
      <c r="H72" s="226">
        <f>CAPEX!Q10*CAPEX!Q$48</f>
        <v>489.95989998000005</v>
      </c>
      <c r="I72" s="227">
        <f>SUM(C72:H72)</f>
        <v>1274.2704258818417</v>
      </c>
      <c r="J72" s="159"/>
    </row>
    <row r="73" spans="1:10" ht="12.75">
      <c r="A73" s="10"/>
      <c r="B73" s="177" t="s">
        <v>63</v>
      </c>
      <c r="C73" s="226">
        <f>CAPEX!L11*CAPEX!L$48</f>
        <v>48.15947514092617</v>
      </c>
      <c r="D73" s="226">
        <f>CAPEX!M11*CAPEX!M$48</f>
        <v>172.08681506056587</v>
      </c>
      <c r="E73" s="226">
        <f>CAPEX!N11*CAPEX!N$48</f>
        <v>0.14749430317103618</v>
      </c>
      <c r="F73" s="226">
        <f>CAPEX!O11*CAPEX!O$48</f>
        <v>132.85555701826712</v>
      </c>
      <c r="G73" s="226">
        <f>CAPEX!P11*CAPEX!P$48</f>
        <v>0</v>
      </c>
      <c r="H73" s="226">
        <f>CAPEX!Q11*CAPEX!Q$48</f>
        <v>52.260917140000004</v>
      </c>
      <c r="I73" s="227">
        <f>SUM(C73:H73)</f>
        <v>405.5102586629302</v>
      </c>
      <c r="J73" s="159"/>
    </row>
    <row r="74" spans="1:10" ht="12.75">
      <c r="A74" s="10"/>
      <c r="B74" s="177" t="s">
        <v>64</v>
      </c>
      <c r="C74" s="226">
        <f>CAPEX!L12*CAPEX!L$48</f>
        <v>0</v>
      </c>
      <c r="D74" s="226">
        <f>CAPEX!M12*CAPEX!M$48</f>
        <v>0</v>
      </c>
      <c r="E74" s="226">
        <f>CAPEX!N12*CAPEX!N$48</f>
        <v>0</v>
      </c>
      <c r="F74" s="226">
        <f>CAPEX!O12*CAPEX!O$48</f>
        <v>0</v>
      </c>
      <c r="G74" s="226">
        <f>CAPEX!P12*CAPEX!P$48</f>
        <v>0.07815495707719504</v>
      </c>
      <c r="H74" s="226">
        <f>CAPEX!Q12*CAPEX!Q$48</f>
        <v>4.75553671</v>
      </c>
      <c r="I74" s="227">
        <f>SUM(C74:H74)</f>
        <v>4.833691667077195</v>
      </c>
      <c r="J74" s="159"/>
    </row>
    <row r="75" spans="1:10" ht="12.75">
      <c r="A75" s="10"/>
      <c r="B75" s="177" t="s">
        <v>18</v>
      </c>
      <c r="C75" s="226">
        <f>CAPEX!L13*CAPEX!L$48</f>
        <v>4.113512544409395</v>
      </c>
      <c r="D75" s="226">
        <f>CAPEX!M13*CAPEX!M$48</f>
        <v>0.8794547411318329</v>
      </c>
      <c r="E75" s="226">
        <f>CAPEX!N13*CAPEX!N$48</f>
        <v>2.3359913578901375</v>
      </c>
      <c r="F75" s="226">
        <f>CAPEX!O13*CAPEX!O$48</f>
        <v>5.900936160758123</v>
      </c>
      <c r="G75" s="226">
        <f>CAPEX!P13*CAPEX!P$48</f>
        <v>0.5584050775486153</v>
      </c>
      <c r="H75" s="226">
        <f>CAPEX!Q13*CAPEX!Q$48</f>
        <v>75.31545632000004</v>
      </c>
      <c r="I75" s="227">
        <f>SUM(C75:H75)</f>
        <v>89.10375620173814</v>
      </c>
      <c r="J75" s="159"/>
    </row>
    <row r="76" spans="1:10" ht="12.75">
      <c r="A76" s="10"/>
      <c r="B76" s="177" t="s">
        <v>19</v>
      </c>
      <c r="C76" s="226">
        <f>CAPEX!L14*CAPEX!L$48</f>
        <v>0</v>
      </c>
      <c r="D76" s="226">
        <f>CAPEX!M14*CAPEX!M$48</f>
        <v>-0.13417981047588423</v>
      </c>
      <c r="E76" s="226">
        <f>CAPEX!N14*CAPEX!N$48</f>
        <v>1.950041065792759</v>
      </c>
      <c r="F76" s="226">
        <f>CAPEX!O14*CAPEX!O$48</f>
        <v>1.4827331567569195</v>
      </c>
      <c r="G76" s="226">
        <f>CAPEX!P14*CAPEX!P$48</f>
        <v>0.6784392920506775</v>
      </c>
      <c r="H76" s="226">
        <f>CAPEX!Q14*CAPEX!Q$48</f>
        <v>0.66606215</v>
      </c>
      <c r="I76" s="227">
        <f>SUM(C76:H76)</f>
        <v>4.643095854124471</v>
      </c>
      <c r="J76" s="159"/>
    </row>
    <row r="77" spans="1:10" ht="12.75">
      <c r="A77" s="10"/>
      <c r="B77" s="187" t="s">
        <v>20</v>
      </c>
      <c r="C77" s="227">
        <f aca="true" t="shared" si="8" ref="C77:I77">SUM(C72:C76)</f>
        <v>60.958829066999996</v>
      </c>
      <c r="D77" s="227">
        <f t="shared" si="8"/>
        <v>430.20959814008995</v>
      </c>
      <c r="E77" s="227">
        <f t="shared" si="8"/>
        <v>5.679381979787765</v>
      </c>
      <c r="F77" s="227">
        <f t="shared" si="8"/>
        <v>657.2405474541575</v>
      </c>
      <c r="G77" s="227">
        <f t="shared" si="8"/>
        <v>1.314999326676488</v>
      </c>
      <c r="H77" s="227">
        <f t="shared" si="8"/>
        <v>622.9578723000001</v>
      </c>
      <c r="I77" s="227">
        <f t="shared" si="8"/>
        <v>1778.3612282677118</v>
      </c>
      <c r="J77" s="159"/>
    </row>
    <row r="78" spans="1:10" ht="12.75">
      <c r="A78" s="10"/>
      <c r="C78" s="56"/>
      <c r="D78" s="56"/>
      <c r="E78" s="56"/>
      <c r="F78" s="56"/>
      <c r="G78" s="56"/>
      <c r="H78" s="56"/>
      <c r="I78" s="56"/>
      <c r="J78" s="56"/>
    </row>
    <row r="79" spans="3:10" ht="12.75">
      <c r="C79" s="56"/>
      <c r="D79" s="56"/>
      <c r="E79" s="56"/>
      <c r="F79" s="56"/>
      <c r="G79" s="56"/>
      <c r="H79" s="56"/>
      <c r="I79" s="56"/>
      <c r="J79" s="56"/>
    </row>
    <row r="80" spans="1:10" ht="13.5">
      <c r="A80" s="10"/>
      <c r="B80" s="336" t="s">
        <v>143</v>
      </c>
      <c r="C80" s="56"/>
      <c r="D80" s="56"/>
      <c r="E80" s="56"/>
      <c r="F80" s="56"/>
      <c r="G80" s="56"/>
      <c r="H80" s="56"/>
      <c r="I80" s="56"/>
      <c r="J80" s="56"/>
    </row>
    <row r="81" spans="1:10" ht="14.25" thickBot="1">
      <c r="A81" s="10"/>
      <c r="B81" s="147" t="s">
        <v>218</v>
      </c>
      <c r="C81" s="391"/>
      <c r="D81" s="391"/>
      <c r="E81" s="391"/>
      <c r="F81" s="56"/>
      <c r="G81" s="56"/>
      <c r="H81" s="56"/>
      <c r="I81" s="56"/>
      <c r="J81" s="56"/>
    </row>
    <row r="82" spans="1:10" ht="12.75">
      <c r="A82" s="10"/>
      <c r="B82" s="179" t="s">
        <v>92</v>
      </c>
      <c r="C82" s="225">
        <v>2005</v>
      </c>
      <c r="D82" s="225">
        <v>2006</v>
      </c>
      <c r="E82" s="225">
        <v>2007</v>
      </c>
      <c r="F82" s="225">
        <v>2008</v>
      </c>
      <c r="G82" s="225">
        <v>2009</v>
      </c>
      <c r="H82" s="225">
        <v>2010</v>
      </c>
      <c r="I82" s="56"/>
      <c r="J82" s="56"/>
    </row>
    <row r="83" spans="1:10" ht="12.75">
      <c r="A83" s="10"/>
      <c r="B83" s="187" t="s">
        <v>20</v>
      </c>
      <c r="C83" s="227">
        <f>CAPEX!L24*CAPEX!L$48</f>
        <v>3.028470224442953</v>
      </c>
      <c r="D83" s="227">
        <f>CAPEX!M24*CAPEX!M$48</f>
        <v>6.727409755183279</v>
      </c>
      <c r="E83" s="227">
        <f>CAPEX!N24*CAPEX!N$48</f>
        <v>7.145718472546818</v>
      </c>
      <c r="F83" s="227">
        <f>CAPEX!O24*CAPEX!O$48</f>
        <v>1.577867755282792</v>
      </c>
      <c r="G83" s="227">
        <f>CAPEX!P24*CAPEX!P$48</f>
        <v>6.407770792857985</v>
      </c>
      <c r="H83" s="227">
        <f>CAPEX!Q24*CAPEX!Q$48</f>
        <v>1.01100182</v>
      </c>
      <c r="I83" s="56"/>
      <c r="J83" s="56"/>
    </row>
    <row r="84" spans="3:10" ht="13.5">
      <c r="C84" s="391"/>
      <c r="D84" s="391"/>
      <c r="E84" s="391"/>
      <c r="F84" s="391"/>
      <c r="G84" s="391"/>
      <c r="H84" s="391"/>
      <c r="I84" s="56"/>
      <c r="J84" s="56"/>
    </row>
    <row r="85" spans="3:10" ht="12.75">
      <c r="C85" s="157"/>
      <c r="D85" s="158"/>
      <c r="E85" s="158"/>
      <c r="F85" s="158"/>
      <c r="G85" s="158"/>
      <c r="H85" s="158"/>
      <c r="I85" s="56"/>
      <c r="J85" s="56"/>
    </row>
    <row r="86" spans="1:4" ht="12.75">
      <c r="A86" s="10"/>
      <c r="B86" s="337" t="s">
        <v>93</v>
      </c>
      <c r="C86" s="56"/>
      <c r="D86" s="56"/>
    </row>
    <row r="87" spans="1:10" ht="14.25" thickBot="1">
      <c r="A87" s="10"/>
      <c r="B87" s="147" t="s">
        <v>218</v>
      </c>
      <c r="C87" s="162"/>
      <c r="D87" s="163"/>
      <c r="E87" s="163"/>
      <c r="F87" s="163"/>
      <c r="G87" s="163"/>
      <c r="H87" s="163"/>
      <c r="I87" s="56"/>
      <c r="J87" s="56"/>
    </row>
    <row r="88" spans="1:10" ht="12.75">
      <c r="A88" s="10"/>
      <c r="B88" s="179" t="s">
        <v>60</v>
      </c>
      <c r="C88" s="179">
        <v>2005</v>
      </c>
      <c r="D88" s="179">
        <v>2006</v>
      </c>
      <c r="E88" s="179">
        <v>2007</v>
      </c>
      <c r="F88" s="179">
        <v>2008</v>
      </c>
      <c r="G88" s="179">
        <v>2009</v>
      </c>
      <c r="H88" s="179">
        <v>2010</v>
      </c>
      <c r="I88" s="179" t="s">
        <v>20</v>
      </c>
      <c r="J88" s="56"/>
    </row>
    <row r="89" spans="1:10" ht="12.75">
      <c r="A89" s="10"/>
      <c r="B89" s="177" t="s">
        <v>76</v>
      </c>
      <c r="C89" s="223">
        <f>CAPEX!G69</f>
        <v>33.24112437740914</v>
      </c>
      <c r="D89" s="223">
        <f>CAPEX!H69</f>
        <v>33.249934639729716</v>
      </c>
      <c r="E89" s="223">
        <f>CAPEX!I69</f>
        <v>33.255671554729155</v>
      </c>
      <c r="F89" s="223">
        <f>CAPEX!J69</f>
        <v>33.25890881390741</v>
      </c>
      <c r="G89" s="223">
        <f>CAPEX!K69</f>
        <v>33.26624386951384</v>
      </c>
      <c r="H89" s="223">
        <f>CAPEX!L69</f>
        <v>33.28051365205474</v>
      </c>
      <c r="I89" s="251">
        <f>SUM(C89:H89)</f>
        <v>199.55239690734405</v>
      </c>
      <c r="J89" s="56"/>
    </row>
    <row r="90" spans="1:10" ht="12.75">
      <c r="A90" s="10"/>
      <c r="B90" s="177" t="s">
        <v>63</v>
      </c>
      <c r="C90" s="223">
        <f>CAPEX!G70</f>
        <v>16.208313315866093</v>
      </c>
      <c r="D90" s="223">
        <f>CAPEX!H70</f>
        <v>16.254208635861616</v>
      </c>
      <c r="E90" s="223">
        <f>CAPEX!I70</f>
        <v>16.462171804591335</v>
      </c>
      <c r="F90" s="223">
        <f>CAPEX!J70</f>
        <v>16.674915735820587</v>
      </c>
      <c r="G90" s="223">
        <f>CAPEX!K70</f>
        <v>16.762403689562056</v>
      </c>
      <c r="H90" s="223">
        <f>CAPEX!L70</f>
        <v>15.235299500120503</v>
      </c>
      <c r="I90" s="251">
        <f>SUM(C90:H90)</f>
        <v>97.59731268182219</v>
      </c>
      <c r="J90" s="56"/>
    </row>
    <row r="91" spans="1:10" ht="12.75">
      <c r="A91" s="10"/>
      <c r="B91" s="177" t="s">
        <v>64</v>
      </c>
      <c r="C91" s="223">
        <f>CAPEX!G71</f>
        <v>0.6548687490923285</v>
      </c>
      <c r="D91" s="223">
        <f>CAPEX!H71</f>
        <v>0.6548687490923285</v>
      </c>
      <c r="E91" s="223">
        <f>CAPEX!I71</f>
        <v>0.6563029778421886</v>
      </c>
      <c r="F91" s="223">
        <f>CAPEX!J71</f>
        <v>0.6577372065920487</v>
      </c>
      <c r="G91" s="223">
        <f>CAPEX!K71</f>
        <v>0.6591714353419089</v>
      </c>
      <c r="H91" s="223">
        <f>CAPEX!L71</f>
        <v>0.723773294996058</v>
      </c>
      <c r="I91" s="251">
        <f>SUM(C91:H91)</f>
        <v>4.0067224129568615</v>
      </c>
      <c r="J91" s="56"/>
    </row>
    <row r="92" spans="1:10" ht="12.75">
      <c r="A92" s="10"/>
      <c r="B92" s="177" t="s">
        <v>65</v>
      </c>
      <c r="C92" s="223">
        <f>CAPEX!G72</f>
        <v>4.056546860115326</v>
      </c>
      <c r="D92" s="223">
        <f>CAPEX!H72</f>
        <v>4.298549057841724</v>
      </c>
      <c r="E92" s="223">
        <f>CAPEX!I72</f>
        <v>4.5392604496932485</v>
      </c>
      <c r="F92" s="223">
        <f>CAPEX!J72</f>
        <v>4.8127200646665775</v>
      </c>
      <c r="G92" s="223">
        <f>CAPEX!K72</f>
        <v>5.038372054644571</v>
      </c>
      <c r="H92" s="223">
        <f>CAPEX!L72</f>
        <v>4.453524752909569</v>
      </c>
      <c r="I92" s="251">
        <f>SUM(C92:H92)</f>
        <v>27.198973239871016</v>
      </c>
      <c r="J92" s="56"/>
    </row>
    <row r="93" spans="1:10" ht="12.75">
      <c r="A93" s="10"/>
      <c r="B93" s="187" t="s">
        <v>20</v>
      </c>
      <c r="C93" s="251">
        <f>SUM(C89:C92)</f>
        <v>54.16085330248289</v>
      </c>
      <c r="D93" s="251">
        <f aca="true" t="shared" si="9" ref="D93:I93">SUM(D89:D92)</f>
        <v>54.45756108252539</v>
      </c>
      <c r="E93" s="251">
        <f t="shared" si="9"/>
        <v>54.91340678685593</v>
      </c>
      <c r="F93" s="251">
        <f t="shared" si="9"/>
        <v>55.404281820986625</v>
      </c>
      <c r="G93" s="251">
        <f t="shared" si="9"/>
        <v>55.72619104906238</v>
      </c>
      <c r="H93" s="251">
        <f t="shared" si="9"/>
        <v>53.69311120008088</v>
      </c>
      <c r="I93" s="251">
        <f t="shared" si="9"/>
        <v>328.3554052419941</v>
      </c>
      <c r="J93" s="56"/>
    </row>
    <row r="94" spans="3:10" ht="12.75">
      <c r="C94" s="162"/>
      <c r="D94" s="163"/>
      <c r="E94" s="163"/>
      <c r="F94" s="163"/>
      <c r="G94" s="163"/>
      <c r="H94" s="163"/>
      <c r="I94" s="56"/>
      <c r="J94" s="56"/>
    </row>
    <row r="95" spans="2:10" ht="13.5">
      <c r="B95" s="147" t="s">
        <v>208</v>
      </c>
      <c r="C95" s="162"/>
      <c r="D95" s="163"/>
      <c r="E95" s="163"/>
      <c r="F95" s="163"/>
      <c r="G95" s="163"/>
      <c r="H95" s="163"/>
      <c r="I95" s="56"/>
      <c r="J95" s="56"/>
    </row>
    <row r="96" spans="2:10" ht="13.5" thickBot="1">
      <c r="B96" s="167" t="s">
        <v>218</v>
      </c>
      <c r="C96" s="162"/>
      <c r="D96" s="163"/>
      <c r="E96" s="163"/>
      <c r="F96" s="163"/>
      <c r="G96" s="163"/>
      <c r="H96" s="163"/>
      <c r="I96" s="56"/>
      <c r="J96" s="56"/>
    </row>
    <row r="97" spans="2:10" ht="12.75">
      <c r="B97" s="150" t="s">
        <v>60</v>
      </c>
      <c r="C97" s="179">
        <v>2005</v>
      </c>
      <c r="D97" s="179">
        <v>2006</v>
      </c>
      <c r="E97" s="179">
        <v>2007</v>
      </c>
      <c r="F97" s="179">
        <v>2008</v>
      </c>
      <c r="G97" s="179">
        <v>2009</v>
      </c>
      <c r="H97" s="179">
        <v>2010</v>
      </c>
      <c r="I97" s="179" t="s">
        <v>20</v>
      </c>
      <c r="J97" s="56"/>
    </row>
    <row r="98" spans="2:10" ht="12.75">
      <c r="B98" s="189" t="s">
        <v>76</v>
      </c>
      <c r="C98" s="252">
        <f>CAPEX!L29*CAPEX!L$48</f>
        <v>0</v>
      </c>
      <c r="D98" s="252">
        <f>CAPEX!M29*CAPEX!M$48</f>
        <v>0</v>
      </c>
      <c r="E98" s="252">
        <f>CAPEX!N29*CAPEX!N$48</f>
        <v>0</v>
      </c>
      <c r="F98" s="252">
        <f>CAPEX!O29*CAPEX!O$48</f>
        <v>0</v>
      </c>
      <c r="G98" s="252">
        <f>CAPEX!P29*CAPEX!P$48</f>
        <v>0</v>
      </c>
      <c r="H98" s="252">
        <f>CAPEX!Q29*CAPEX!Q$48</f>
        <v>0</v>
      </c>
      <c r="I98" s="251">
        <f aca="true" t="shared" si="10" ref="I98:I103">SUM(C98:H98)</f>
        <v>0</v>
      </c>
      <c r="J98" s="56"/>
    </row>
    <row r="99" spans="2:10" ht="12.75">
      <c r="B99" s="189" t="s">
        <v>63</v>
      </c>
      <c r="C99" s="252">
        <f>CAPEX!L30*CAPEX!L$48</f>
        <v>4.099934238707037</v>
      </c>
      <c r="D99" s="252">
        <f>CAPEX!M30*CAPEX!M$48</f>
        <v>0</v>
      </c>
      <c r="E99" s="252">
        <f>CAPEX!N30*CAPEX!N$48</f>
        <v>0</v>
      </c>
      <c r="F99" s="252">
        <f>CAPEX!O30*CAPEX!O$48</f>
        <v>0</v>
      </c>
      <c r="G99" s="252">
        <f>CAPEX!P30*CAPEX!P$48</f>
        <v>0</v>
      </c>
      <c r="H99" s="252">
        <f>CAPEX!Q30*CAPEX!Q$48</f>
        <v>0</v>
      </c>
      <c r="I99" s="251">
        <f t="shared" si="10"/>
        <v>4.099934238707037</v>
      </c>
      <c r="J99" s="56"/>
    </row>
    <row r="100" spans="2:10" ht="12.75">
      <c r="B100" s="189" t="s">
        <v>64</v>
      </c>
      <c r="C100" s="252">
        <f>CAPEX!L31*CAPEX!L$48</f>
        <v>0</v>
      </c>
      <c r="D100" s="252">
        <f>CAPEX!M31*CAPEX!M$48</f>
        <v>0</v>
      </c>
      <c r="E100" s="252">
        <f>CAPEX!N31*CAPEX!N$48</f>
        <v>0</v>
      </c>
      <c r="F100" s="252">
        <f>CAPEX!O31*CAPEX!O$48</f>
        <v>0</v>
      </c>
      <c r="G100" s="252">
        <f>CAPEX!P31*CAPEX!P$48</f>
        <v>0</v>
      </c>
      <c r="H100" s="252">
        <f>CAPEX!Q31*CAPEX!Q$48</f>
        <v>0</v>
      </c>
      <c r="I100" s="251">
        <f t="shared" si="10"/>
        <v>0</v>
      </c>
      <c r="J100" s="56"/>
    </row>
    <row r="101" spans="2:10" ht="12.75">
      <c r="B101" s="189" t="s">
        <v>78</v>
      </c>
      <c r="C101" s="252">
        <f>CAPEX!L32*CAPEX!L$48</f>
        <v>4.174652417038356</v>
      </c>
      <c r="D101" s="252">
        <f>CAPEX!M32*CAPEX!M$48</f>
        <v>0</v>
      </c>
      <c r="E101" s="252">
        <f>CAPEX!N32*CAPEX!N$48</f>
        <v>0.03700891771360095</v>
      </c>
      <c r="F101" s="252">
        <f>CAPEX!O32*CAPEX!O$48</f>
        <v>0.028182089205892633</v>
      </c>
      <c r="G101" s="252">
        <f>CAPEX!P32*CAPEX!P$48</f>
        <v>0.08776248774858639</v>
      </c>
      <c r="H101" s="252">
        <f>CAPEX!Q32*CAPEX!Q$48</f>
        <v>0.010394835457760375</v>
      </c>
      <c r="I101" s="251">
        <f t="shared" si="10"/>
        <v>4.338000747164196</v>
      </c>
      <c r="J101" s="56"/>
    </row>
    <row r="102" spans="2:10" ht="12.75">
      <c r="B102" s="189" t="s">
        <v>79</v>
      </c>
      <c r="C102" s="252">
        <f>CAPEX!L33*CAPEX!L$48</f>
        <v>2.2580593136106732</v>
      </c>
      <c r="D102" s="252">
        <f>CAPEX!M33*CAPEX!M$48</f>
        <v>0</v>
      </c>
      <c r="E102" s="252">
        <f>CAPEX!N33*CAPEX!N$48</f>
        <v>0</v>
      </c>
      <c r="F102" s="252">
        <f>CAPEX!O33*CAPEX!O$48</f>
        <v>0</v>
      </c>
      <c r="G102" s="252">
        <f>CAPEX!P33*CAPEX!P$48</f>
        <v>0</v>
      </c>
      <c r="H102" s="252">
        <f>CAPEX!Q33*CAPEX!Q$48</f>
        <v>0</v>
      </c>
      <c r="I102" s="251">
        <f t="shared" si="10"/>
        <v>2.2580593136106732</v>
      </c>
      <c r="J102" s="56"/>
    </row>
    <row r="103" spans="2:10" ht="12.75">
      <c r="B103" s="190" t="s">
        <v>172</v>
      </c>
      <c r="C103" s="253">
        <f aca="true" t="shared" si="11" ref="C103:H103">SUM(C98:C102)</f>
        <v>10.532645969356066</v>
      </c>
      <c r="D103" s="253">
        <f t="shared" si="11"/>
        <v>0</v>
      </c>
      <c r="E103" s="253">
        <f t="shared" si="11"/>
        <v>0.03700891771360095</v>
      </c>
      <c r="F103" s="253">
        <f t="shared" si="11"/>
        <v>0.028182089205892633</v>
      </c>
      <c r="G103" s="253">
        <f t="shared" si="11"/>
        <v>0.08776248774858639</v>
      </c>
      <c r="H103" s="253">
        <f t="shared" si="11"/>
        <v>0.010394835457760375</v>
      </c>
      <c r="I103" s="251">
        <f t="shared" si="10"/>
        <v>10.695994299481907</v>
      </c>
      <c r="J103" s="56"/>
    </row>
    <row r="104" spans="3:10" ht="12.75">
      <c r="C104" s="162"/>
      <c r="D104" s="163"/>
      <c r="E104" s="163"/>
      <c r="F104" s="163"/>
      <c r="G104" s="163"/>
      <c r="H104" s="163"/>
      <c r="I104" s="56"/>
      <c r="J104" s="56"/>
    </row>
    <row r="105" spans="2:10" ht="13.5">
      <c r="B105" s="147" t="s">
        <v>209</v>
      </c>
      <c r="C105" s="162"/>
      <c r="D105" s="163"/>
      <c r="E105" s="163"/>
      <c r="F105" s="163"/>
      <c r="G105" s="163"/>
      <c r="H105" s="163"/>
      <c r="I105" s="56"/>
      <c r="J105" s="56"/>
    </row>
    <row r="106" spans="2:10" ht="13.5" thickBot="1">
      <c r="B106" s="167" t="s">
        <v>218</v>
      </c>
      <c r="C106" s="162"/>
      <c r="D106" s="163"/>
      <c r="E106" s="163"/>
      <c r="F106" s="163"/>
      <c r="G106" s="163"/>
      <c r="H106" s="163"/>
      <c r="I106" s="56"/>
      <c r="J106" s="56"/>
    </row>
    <row r="107" spans="2:9" ht="12.75">
      <c r="B107" s="150" t="s">
        <v>60</v>
      </c>
      <c r="C107" s="179">
        <v>2011</v>
      </c>
      <c r="D107" s="179">
        <v>2012</v>
      </c>
      <c r="E107" s="179">
        <v>2013</v>
      </c>
      <c r="F107" s="179">
        <v>2014</v>
      </c>
      <c r="G107" s="150">
        <v>2015</v>
      </c>
      <c r="H107" s="179" t="s">
        <v>20</v>
      </c>
      <c r="I107" s="56"/>
    </row>
    <row r="108" spans="2:9" ht="12.75">
      <c r="B108" s="189" t="s">
        <v>76</v>
      </c>
      <c r="C108" s="252">
        <f>CAPEX!R49</f>
        <v>13.020286886972038</v>
      </c>
      <c r="D108" s="252">
        <f>CAPEX!S49</f>
        <v>3.95</v>
      </c>
      <c r="E108" s="252">
        <f>CAPEX!T49</f>
        <v>4.255</v>
      </c>
      <c r="F108" s="252">
        <f>CAPEX!U49</f>
        <v>0.615</v>
      </c>
      <c r="G108" s="252">
        <f>CAPEX!V49</f>
        <v>0.8149999999999998</v>
      </c>
      <c r="H108" s="253">
        <f>SUM(C108:G108)</f>
        <v>22.655286886972036</v>
      </c>
      <c r="I108" s="56"/>
    </row>
    <row r="109" spans="2:9" ht="12.75">
      <c r="B109" s="189" t="s">
        <v>63</v>
      </c>
      <c r="C109" s="252">
        <f>CAPEX!R50</f>
        <v>36.50865741898274</v>
      </c>
      <c r="D109" s="252">
        <f>CAPEX!S50</f>
        <v>7.2727</v>
      </c>
      <c r="E109" s="252">
        <f>CAPEX!T50</f>
        <v>2.76</v>
      </c>
      <c r="F109" s="252">
        <f>CAPEX!U50</f>
        <v>3.5</v>
      </c>
      <c r="G109" s="252">
        <f>CAPEX!V50</f>
        <v>6.6899999999999995</v>
      </c>
      <c r="H109" s="253">
        <f>SUM(C109:G109)</f>
        <v>56.73135741898274</v>
      </c>
      <c r="I109" s="56"/>
    </row>
    <row r="110" spans="2:9" ht="12.75">
      <c r="B110" s="189" t="s">
        <v>64</v>
      </c>
      <c r="C110" s="252">
        <f>CAPEX!R51</f>
        <v>32.08580377063653</v>
      </c>
      <c r="D110" s="252">
        <f>CAPEX!S51</f>
        <v>0.48530000000000006</v>
      </c>
      <c r="E110" s="252">
        <f>CAPEX!T51</f>
        <v>2.6549999999999994</v>
      </c>
      <c r="F110" s="252">
        <f>CAPEX!U51</f>
        <v>2.655</v>
      </c>
      <c r="G110" s="252">
        <f>CAPEX!V51</f>
        <v>0.155</v>
      </c>
      <c r="H110" s="253">
        <f>SUM(C110:G110)</f>
        <v>38.03610377063654</v>
      </c>
      <c r="I110" s="56"/>
    </row>
    <row r="111" spans="2:9" ht="12.75">
      <c r="B111" s="189" t="s">
        <v>78</v>
      </c>
      <c r="C111" s="252">
        <f>CAPEX!R52</f>
        <v>75.10426286060083</v>
      </c>
      <c r="D111" s="252">
        <f>CAPEX!S52</f>
        <v>4.745</v>
      </c>
      <c r="E111" s="252">
        <f>CAPEX!T52</f>
        <v>4.155</v>
      </c>
      <c r="F111" s="252">
        <f>CAPEX!U52</f>
        <v>6.755</v>
      </c>
      <c r="G111" s="252">
        <f>CAPEX!V52</f>
        <v>6.155</v>
      </c>
      <c r="H111" s="253">
        <f>SUM(C111:G111)</f>
        <v>96.91426286060083</v>
      </c>
      <c r="I111" s="56"/>
    </row>
    <row r="112" spans="2:9" ht="12.75">
      <c r="B112" s="189" t="s">
        <v>79</v>
      </c>
      <c r="C112" s="252">
        <f>CAPEX!R53</f>
        <v>0</v>
      </c>
      <c r="D112" s="252">
        <f>CAPEX!S53</f>
        <v>0</v>
      </c>
      <c r="E112" s="252">
        <f>CAPEX!T53</f>
        <v>0</v>
      </c>
      <c r="F112" s="252">
        <f>CAPEX!U53</f>
        <v>0</v>
      </c>
      <c r="G112" s="252">
        <f>CAPEX!V53</f>
        <v>0</v>
      </c>
      <c r="H112" s="253">
        <f>SUM(C112:G112)</f>
        <v>0</v>
      </c>
      <c r="I112" s="56"/>
    </row>
    <row r="113" spans="2:9" ht="12.75">
      <c r="B113" s="190" t="s">
        <v>172</v>
      </c>
      <c r="C113" s="253">
        <f aca="true" t="shared" si="12" ref="C113:H113">SUM(C108:C112)</f>
        <v>156.71901093719214</v>
      </c>
      <c r="D113" s="253">
        <f t="shared" si="12"/>
        <v>16.453</v>
      </c>
      <c r="E113" s="253">
        <f t="shared" si="12"/>
        <v>13.825</v>
      </c>
      <c r="F113" s="253">
        <f t="shared" si="12"/>
        <v>13.524999999999999</v>
      </c>
      <c r="G113" s="253">
        <f t="shared" si="12"/>
        <v>13.815</v>
      </c>
      <c r="H113" s="253">
        <f t="shared" si="12"/>
        <v>214.33701093719213</v>
      </c>
      <c r="I113" s="56"/>
    </row>
    <row r="114" spans="2:9" s="85" customFormat="1" ht="24">
      <c r="B114" s="190" t="s">
        <v>173</v>
      </c>
      <c r="C114" s="253"/>
      <c r="D114" s="253"/>
      <c r="E114" s="253"/>
      <c r="F114" s="253"/>
      <c r="G114" s="253"/>
      <c r="H114" s="253"/>
      <c r="I114" s="267"/>
    </row>
    <row r="115" spans="2:9" ht="12.75">
      <c r="B115" s="189" t="s">
        <v>76</v>
      </c>
      <c r="C115" s="252">
        <f>CAPEX!R60</f>
        <v>15.166209799999999</v>
      </c>
      <c r="D115" s="252">
        <f>CAPEX!S60</f>
        <v>0</v>
      </c>
      <c r="E115" s="252">
        <f>CAPEX!T60</f>
        <v>0</v>
      </c>
      <c r="F115" s="252">
        <f>CAPEX!U60</f>
        <v>0</v>
      </c>
      <c r="G115" s="252">
        <f>CAPEX!V60</f>
        <v>0</v>
      </c>
      <c r="H115" s="253">
        <f>SUM(C115:G115)</f>
        <v>15.166209799999999</v>
      </c>
      <c r="I115" s="56"/>
    </row>
    <row r="116" spans="2:9" ht="12.75">
      <c r="B116" s="189" t="s">
        <v>63</v>
      </c>
      <c r="C116" s="252">
        <f>CAPEX!R61</f>
        <v>2.6834239999999996</v>
      </c>
      <c r="D116" s="252">
        <f>CAPEX!S61</f>
        <v>0</v>
      </c>
      <c r="E116" s="252">
        <f>CAPEX!T61</f>
        <v>0</v>
      </c>
      <c r="F116" s="252">
        <f>CAPEX!U61</f>
        <v>0</v>
      </c>
      <c r="G116" s="252">
        <f>CAPEX!V61</f>
        <v>0</v>
      </c>
      <c r="H116" s="253">
        <f>SUM(C116:G116)</f>
        <v>2.6834239999999996</v>
      </c>
      <c r="I116" s="56"/>
    </row>
    <row r="117" spans="2:9" ht="12.75">
      <c r="B117" s="189" t="s">
        <v>64</v>
      </c>
      <c r="C117" s="252">
        <f>CAPEX!R62</f>
        <v>3.7126691457736176</v>
      </c>
      <c r="D117" s="252">
        <f>CAPEX!S62</f>
        <v>2.718474866402406</v>
      </c>
      <c r="E117" s="252">
        <f>CAPEX!T62</f>
        <v>1.473452221126771</v>
      </c>
      <c r="F117" s="252">
        <f>CAPEX!U62</f>
        <v>0</v>
      </c>
      <c r="G117" s="252">
        <f>CAPEX!V62</f>
        <v>0</v>
      </c>
      <c r="H117" s="253">
        <f>SUM(C117:G117)</f>
        <v>7.904596233302795</v>
      </c>
      <c r="I117" s="56"/>
    </row>
    <row r="118" spans="2:9" ht="12.75">
      <c r="B118" s="189" t="s">
        <v>78</v>
      </c>
      <c r="C118" s="252">
        <f>CAPEX!R63</f>
        <v>0</v>
      </c>
      <c r="D118" s="252">
        <f>CAPEX!S63</f>
        <v>0</v>
      </c>
      <c r="E118" s="252">
        <f>CAPEX!T63</f>
        <v>0</v>
      </c>
      <c r="F118" s="252">
        <f>CAPEX!U63</f>
        <v>0</v>
      </c>
      <c r="G118" s="252">
        <f>CAPEX!V63</f>
        <v>0</v>
      </c>
      <c r="H118" s="253">
        <f>SUM(C118:G118)</f>
        <v>0</v>
      </c>
      <c r="I118" s="56"/>
    </row>
    <row r="119" spans="1:9" ht="12.75">
      <c r="A119" s="10"/>
      <c r="B119" s="190" t="s">
        <v>172</v>
      </c>
      <c r="C119" s="253">
        <f aca="true" t="shared" si="13" ref="C119:H119">SUM(C115:C118)</f>
        <v>21.562302945773617</v>
      </c>
      <c r="D119" s="253">
        <f t="shared" si="13"/>
        <v>2.718474866402406</v>
      </c>
      <c r="E119" s="253">
        <f t="shared" si="13"/>
        <v>1.473452221126771</v>
      </c>
      <c r="F119" s="253">
        <f t="shared" si="13"/>
        <v>0</v>
      </c>
      <c r="G119" s="253">
        <f t="shared" si="13"/>
        <v>0</v>
      </c>
      <c r="H119" s="253">
        <f t="shared" si="13"/>
        <v>25.754230033302793</v>
      </c>
      <c r="I119" s="56"/>
    </row>
    <row r="120" spans="1:9" ht="12.75">
      <c r="A120" s="10"/>
      <c r="B120" s="190" t="s">
        <v>95</v>
      </c>
      <c r="C120" s="253">
        <f aca="true" t="shared" si="14" ref="C120:H120">C113+C119</f>
        <v>178.28131388296575</v>
      </c>
      <c r="D120" s="253">
        <f t="shared" si="14"/>
        <v>19.171474866402406</v>
      </c>
      <c r="E120" s="253">
        <f t="shared" si="14"/>
        <v>15.29845222112677</v>
      </c>
      <c r="F120" s="253">
        <f t="shared" si="14"/>
        <v>13.524999999999999</v>
      </c>
      <c r="G120" s="253">
        <f t="shared" si="14"/>
        <v>13.815</v>
      </c>
      <c r="H120" s="253">
        <f t="shared" si="14"/>
        <v>240.09124097049494</v>
      </c>
      <c r="I120" s="56"/>
    </row>
    <row r="121" spans="1:10" ht="12.75">
      <c r="A121" s="10"/>
      <c r="C121" s="162"/>
      <c r="D121" s="163"/>
      <c r="E121" s="163"/>
      <c r="F121" s="163"/>
      <c r="G121" s="163"/>
      <c r="H121" s="163"/>
      <c r="I121" s="56"/>
      <c r="J121" s="56"/>
    </row>
    <row r="122" spans="1:10" ht="14.25" thickBot="1">
      <c r="A122" s="10"/>
      <c r="B122" s="147" t="s">
        <v>210</v>
      </c>
      <c r="C122" s="162"/>
      <c r="D122" s="163"/>
      <c r="E122" s="163"/>
      <c r="F122" s="163"/>
      <c r="G122" s="163"/>
      <c r="H122" s="163"/>
      <c r="I122" s="56"/>
      <c r="J122" s="56"/>
    </row>
    <row r="123" spans="1:9" ht="12.75">
      <c r="A123" s="10"/>
      <c r="B123" s="195" t="s">
        <v>80</v>
      </c>
      <c r="C123" s="196" t="s">
        <v>81</v>
      </c>
      <c r="D123" s="164"/>
      <c r="E123" s="164"/>
      <c r="F123" s="164"/>
      <c r="G123" s="164"/>
      <c r="H123" s="56"/>
      <c r="I123" s="56"/>
    </row>
    <row r="124" spans="1:9" ht="12.75">
      <c r="A124" s="10"/>
      <c r="B124" s="185" t="s">
        <v>82</v>
      </c>
      <c r="C124" s="334">
        <f>CAPEX!D39</f>
        <v>70</v>
      </c>
      <c r="D124" s="56"/>
      <c r="E124" s="56"/>
      <c r="F124" s="56"/>
      <c r="G124" s="56"/>
      <c r="H124" s="56"/>
      <c r="I124" s="56"/>
    </row>
    <row r="125" spans="1:9" ht="12.75">
      <c r="A125" s="10"/>
      <c r="B125" s="185" t="s">
        <v>83</v>
      </c>
      <c r="C125" s="334">
        <f>CAPEX!D40</f>
        <v>30</v>
      </c>
      <c r="D125" s="56"/>
      <c r="E125" s="56"/>
      <c r="F125" s="56"/>
      <c r="G125" s="56"/>
      <c r="H125" s="56"/>
      <c r="I125" s="56"/>
    </row>
    <row r="126" spans="1:9" ht="12.75">
      <c r="A126" s="10"/>
      <c r="B126" s="185" t="s">
        <v>84</v>
      </c>
      <c r="C126" s="334">
        <f>CAPEX!D41</f>
        <v>50</v>
      </c>
      <c r="D126" s="56"/>
      <c r="E126" s="56"/>
      <c r="F126" s="56"/>
      <c r="G126" s="56"/>
      <c r="H126" s="56"/>
      <c r="I126" s="56"/>
    </row>
    <row r="127" spans="1:9" ht="12.75">
      <c r="A127" s="10"/>
      <c r="B127" s="185" t="s">
        <v>78</v>
      </c>
      <c r="C127" s="334">
        <f>CAPEX!D42</f>
        <v>30</v>
      </c>
      <c r="D127" s="56"/>
      <c r="E127" s="56"/>
      <c r="F127" s="56"/>
      <c r="G127" s="56"/>
      <c r="H127" s="56"/>
      <c r="I127" s="56"/>
    </row>
    <row r="128" spans="1:10" ht="28.5" customHeight="1">
      <c r="A128" s="10"/>
      <c r="C128" s="393"/>
      <c r="D128" s="393"/>
      <c r="E128" s="393"/>
      <c r="F128" s="393"/>
      <c r="G128" s="393"/>
      <c r="H128" s="393"/>
      <c r="I128" s="393"/>
      <c r="J128" s="393"/>
    </row>
    <row r="129" spans="1:2" ht="30" customHeight="1" thickBot="1">
      <c r="A129" s="10"/>
      <c r="B129" s="147" t="s">
        <v>211</v>
      </c>
    </row>
    <row r="130" spans="1:9" ht="14.25" thickBot="1">
      <c r="A130" s="10"/>
      <c r="B130" s="168" t="s">
        <v>60</v>
      </c>
      <c r="C130" s="169">
        <v>2011</v>
      </c>
      <c r="D130" s="169">
        <v>2012</v>
      </c>
      <c r="E130" s="169">
        <v>2013</v>
      </c>
      <c r="F130" s="169">
        <v>2014</v>
      </c>
      <c r="G130" s="169">
        <v>2015</v>
      </c>
      <c r="H130" s="158"/>
      <c r="I130" s="165"/>
    </row>
    <row r="131" spans="1:9" ht="13.5">
      <c r="A131" s="10"/>
      <c r="B131" s="170" t="s">
        <v>219</v>
      </c>
      <c r="C131" s="166"/>
      <c r="D131" s="166"/>
      <c r="E131" s="166"/>
      <c r="F131" s="166"/>
      <c r="G131" s="166"/>
      <c r="H131" s="166"/>
      <c r="I131" s="165"/>
    </row>
    <row r="132" spans="1:9" ht="13.5">
      <c r="A132" s="10"/>
      <c r="B132" s="177" t="s">
        <v>82</v>
      </c>
      <c r="C132" s="216">
        <f>CAPEX!R95</f>
        <v>51.56362350235003</v>
      </c>
      <c r="D132" s="216">
        <f>CAPEX!S95</f>
        <v>51.96628774073535</v>
      </c>
      <c r="E132" s="216">
        <f>CAPEX!T95</f>
        <v>52.02271631216392</v>
      </c>
      <c r="F132" s="216">
        <f>CAPEX!U95</f>
        <v>52.083502026449636</v>
      </c>
      <c r="G132" s="216">
        <f>CAPEX!V95</f>
        <v>52.09228774073535</v>
      </c>
      <c r="H132" s="218"/>
      <c r="I132" s="165"/>
    </row>
    <row r="133" spans="1:9" ht="13.5">
      <c r="A133" s="10"/>
      <c r="B133" s="177" t="s">
        <v>83</v>
      </c>
      <c r="C133" s="216">
        <f>CAPEX!R96</f>
        <v>30.323496367320118</v>
      </c>
      <c r="D133" s="216">
        <f>CAPEX!S96</f>
        <v>31.629899081286208</v>
      </c>
      <c r="E133" s="216">
        <f>CAPEX!T96</f>
        <v>31.872322414619543</v>
      </c>
      <c r="F133" s="216">
        <f>CAPEX!U96</f>
        <v>31.96432241461954</v>
      </c>
      <c r="G133" s="216">
        <f>CAPEX!V96</f>
        <v>32.080989081286205</v>
      </c>
      <c r="H133" s="218"/>
      <c r="I133" s="165"/>
    </row>
    <row r="134" spans="1:9" ht="13.5">
      <c r="A134" s="10"/>
      <c r="B134" s="177" t="s">
        <v>84</v>
      </c>
      <c r="C134" s="216">
        <f>CAPEX!R97</f>
        <v>1.0909813217480222</v>
      </c>
      <c r="D134" s="216">
        <f>CAPEX!S97</f>
        <v>1.806950780076225</v>
      </c>
      <c r="E134" s="216">
        <f>CAPEX!T97</f>
        <v>1.8710262774042732</v>
      </c>
      <c r="F134" s="216">
        <f>CAPEX!U97</f>
        <v>1.9535953218268085</v>
      </c>
      <c r="G134" s="216">
        <f>CAPEX!V97</f>
        <v>2.0066953218268084</v>
      </c>
      <c r="H134" s="218"/>
      <c r="I134" s="165"/>
    </row>
    <row r="135" spans="1:9" ht="13.5">
      <c r="A135" s="10"/>
      <c r="B135" s="177" t="s">
        <v>78</v>
      </c>
      <c r="C135" s="216">
        <f>CAPEX!R98</f>
        <v>7.906407405066089</v>
      </c>
      <c r="D135" s="216">
        <f>CAPEX!S98</f>
        <v>10.409882833752782</v>
      </c>
      <c r="E135" s="216">
        <f>CAPEX!T98</f>
        <v>10.568049500419448</v>
      </c>
      <c r="F135" s="216">
        <f>CAPEX!U98</f>
        <v>10.706549500419449</v>
      </c>
      <c r="G135" s="216">
        <f>CAPEX!V98</f>
        <v>10.931716167086115</v>
      </c>
      <c r="H135" s="218"/>
      <c r="I135" s="165"/>
    </row>
    <row r="136" spans="2:9" ht="12.75">
      <c r="B136" s="190" t="s">
        <v>20</v>
      </c>
      <c r="C136" s="217">
        <f>SUM(C132:C135)</f>
        <v>90.88450859648427</v>
      </c>
      <c r="D136" s="217">
        <f>SUM(D132:D135)</f>
        <v>95.81302043585058</v>
      </c>
      <c r="E136" s="217">
        <f>SUM(E132:E135)</f>
        <v>96.33411450460719</v>
      </c>
      <c r="F136" s="217">
        <f>SUM(F132:F135)</f>
        <v>96.70796926331545</v>
      </c>
      <c r="G136" s="217">
        <f>SUM(G132:G135)</f>
        <v>97.11168831093448</v>
      </c>
      <c r="H136" s="197"/>
      <c r="I136" s="157"/>
    </row>
    <row r="137" spans="3:10" ht="12.75">
      <c r="C137" s="157"/>
      <c r="D137" s="392"/>
      <c r="E137" s="392"/>
      <c r="F137" s="392"/>
      <c r="G137" s="392"/>
      <c r="H137" s="392"/>
      <c r="I137" s="392"/>
      <c r="J137" s="392"/>
    </row>
    <row r="138" spans="2:10" ht="14.25" thickBot="1">
      <c r="B138" s="147" t="s">
        <v>212</v>
      </c>
      <c r="C138" s="56"/>
      <c r="D138" s="56"/>
      <c r="E138" s="56"/>
      <c r="F138" s="56"/>
      <c r="G138" s="56"/>
      <c r="H138" s="56"/>
      <c r="I138" s="56"/>
      <c r="J138" s="56"/>
    </row>
    <row r="139" spans="2:10" ht="12.75">
      <c r="B139" s="150" t="s">
        <v>151</v>
      </c>
      <c r="C139" s="179">
        <v>2011</v>
      </c>
      <c r="D139" s="179">
        <v>2012</v>
      </c>
      <c r="E139" s="179">
        <v>2013</v>
      </c>
      <c r="F139" s="179">
        <v>2014</v>
      </c>
      <c r="G139" s="179">
        <v>2015</v>
      </c>
      <c r="H139" s="56"/>
      <c r="I139" s="56"/>
      <c r="J139" s="56"/>
    </row>
    <row r="140" spans="2:10" ht="12.75">
      <c r="B140" s="177" t="s">
        <v>204</v>
      </c>
      <c r="C140" s="209">
        <f>CAPEX!Q107</f>
        <v>3357.286739229518</v>
      </c>
      <c r="D140" s="209">
        <f>CAPEX!R107</f>
        <v>3444.6835445159995</v>
      </c>
      <c r="E140" s="209">
        <f>CAPEX!S107</f>
        <v>3368.041998946551</v>
      </c>
      <c r="F140" s="209">
        <f>CAPEX!T107</f>
        <v>3287.0063366630707</v>
      </c>
      <c r="G140" s="209">
        <f>CAPEX!U107</f>
        <v>3203.823367399755</v>
      </c>
      <c r="H140" s="56"/>
      <c r="I140" s="56"/>
      <c r="J140" s="56"/>
    </row>
    <row r="141" spans="2:10" ht="12.75">
      <c r="B141" s="193" t="s">
        <v>71</v>
      </c>
      <c r="C141" s="193"/>
      <c r="D141" s="193"/>
      <c r="E141" s="193"/>
      <c r="F141" s="193"/>
      <c r="G141" s="193"/>
      <c r="H141" s="56"/>
      <c r="I141" s="56"/>
      <c r="J141" s="56"/>
    </row>
    <row r="142" spans="2:10" ht="12.75">
      <c r="B142" s="177" t="s">
        <v>85</v>
      </c>
      <c r="C142" s="209">
        <f>CAPEX!R54</f>
        <v>156.71901093719214</v>
      </c>
      <c r="D142" s="209">
        <f>CAPEX!S54</f>
        <v>16.453</v>
      </c>
      <c r="E142" s="209">
        <f>CAPEX!T54</f>
        <v>13.825</v>
      </c>
      <c r="F142" s="209">
        <f>CAPEX!U54</f>
        <v>13.524999999999999</v>
      </c>
      <c r="G142" s="209">
        <f>CAPEX!V54</f>
        <v>13.815</v>
      </c>
      <c r="H142" s="56"/>
      <c r="I142" s="56"/>
      <c r="J142" s="56"/>
    </row>
    <row r="143" spans="2:10" ht="12.75">
      <c r="B143" s="177" t="s">
        <v>86</v>
      </c>
      <c r="C143" s="210">
        <f>CAPEX!R64</f>
        <v>21.562302945773617</v>
      </c>
      <c r="D143" s="210">
        <f>CAPEX!S64</f>
        <v>2.718474866402406</v>
      </c>
      <c r="E143" s="210">
        <f>CAPEX!T64</f>
        <v>1.473452221126771</v>
      </c>
      <c r="F143" s="210">
        <f>CAPEX!U64</f>
        <v>0</v>
      </c>
      <c r="G143" s="210">
        <f>CAPEX!V64</f>
        <v>0</v>
      </c>
      <c r="H143" s="56"/>
      <c r="I143" s="56"/>
      <c r="J143" s="56"/>
    </row>
    <row r="144" spans="2:10" ht="12.75">
      <c r="B144" s="194" t="s">
        <v>74</v>
      </c>
      <c r="C144" s="194"/>
      <c r="D144" s="194"/>
      <c r="E144" s="194"/>
      <c r="F144" s="194"/>
      <c r="G144" s="194"/>
      <c r="H144" s="56"/>
      <c r="I144" s="56"/>
      <c r="J144" s="56"/>
    </row>
    <row r="145" spans="2:10" ht="12.75">
      <c r="B145" s="177" t="s">
        <v>87</v>
      </c>
      <c r="C145" s="209">
        <f>CAPEX!R99</f>
        <v>90.88450859648427</v>
      </c>
      <c r="D145" s="209">
        <f>CAPEX!S99</f>
        <v>95.81302043585058</v>
      </c>
      <c r="E145" s="209">
        <f>CAPEX!T99</f>
        <v>96.33411450460719</v>
      </c>
      <c r="F145" s="209">
        <f>CAPEX!U99</f>
        <v>96.70796926331545</v>
      </c>
      <c r="G145" s="209">
        <f>CAPEX!V99</f>
        <v>97.11168831093448</v>
      </c>
      <c r="H145" s="56"/>
      <c r="I145" s="56"/>
      <c r="J145" s="56"/>
    </row>
    <row r="146" spans="2:10" ht="12.75">
      <c r="B146" s="177" t="s">
        <v>88</v>
      </c>
      <c r="C146" s="209"/>
      <c r="D146" s="209"/>
      <c r="E146" s="209"/>
      <c r="F146" s="209"/>
      <c r="G146" s="209"/>
      <c r="H146" s="56"/>
      <c r="I146" s="56"/>
      <c r="J146" s="56"/>
    </row>
    <row r="147" spans="2:10" ht="12.75">
      <c r="B147" s="187" t="s">
        <v>205</v>
      </c>
      <c r="C147" s="211">
        <f>C140+C142+C143-C145</f>
        <v>3444.6835445159995</v>
      </c>
      <c r="D147" s="211">
        <f>D140+D142+D143-D145</f>
        <v>3368.0419989465518</v>
      </c>
      <c r="E147" s="211">
        <f>E140+E142+E143-E145</f>
        <v>3287.0063366630707</v>
      </c>
      <c r="F147" s="211">
        <f>F140+F142+F143-F145</f>
        <v>3203.823367399755</v>
      </c>
      <c r="G147" s="211">
        <f>G140+G142+G143-G145</f>
        <v>3120.526679088821</v>
      </c>
      <c r="H147" s="56"/>
      <c r="I147" s="56"/>
      <c r="J147" s="56"/>
    </row>
    <row r="148" spans="3:10" ht="12.75">
      <c r="C148" s="56"/>
      <c r="D148" s="56"/>
      <c r="E148" s="56"/>
      <c r="F148" s="56"/>
      <c r="G148" s="56"/>
      <c r="H148" s="56"/>
      <c r="I148" s="56"/>
      <c r="J148" s="56"/>
    </row>
    <row r="149" spans="3:10" ht="12.75">
      <c r="C149" s="56"/>
      <c r="D149" s="56"/>
      <c r="E149" s="56"/>
      <c r="F149" s="56"/>
      <c r="G149" s="56"/>
      <c r="H149" s="56"/>
      <c r="I149" s="56"/>
      <c r="J149" s="56"/>
    </row>
    <row r="150" spans="1:10" ht="14.25" thickBot="1">
      <c r="A150" s="10"/>
      <c r="B150" s="324" t="s">
        <v>213</v>
      </c>
      <c r="C150" s="56"/>
      <c r="D150" s="56"/>
      <c r="E150" s="56"/>
      <c r="F150" s="56"/>
      <c r="G150" s="56"/>
      <c r="H150" s="56"/>
      <c r="I150" s="56"/>
      <c r="J150" s="56"/>
    </row>
    <row r="151" spans="1:10" ht="13.5" thickBot="1">
      <c r="A151" s="10"/>
      <c r="B151" s="325" t="s">
        <v>60</v>
      </c>
      <c r="C151" s="326">
        <v>2011</v>
      </c>
      <c r="D151" s="326">
        <v>2012</v>
      </c>
      <c r="E151" s="326">
        <v>2013</v>
      </c>
      <c r="F151" s="326">
        <v>2014</v>
      </c>
      <c r="G151" s="326">
        <v>2015</v>
      </c>
      <c r="H151" s="56"/>
      <c r="I151" s="56"/>
      <c r="J151" s="56"/>
    </row>
    <row r="152" spans="1:10" ht="13.5" thickBot="1">
      <c r="A152" s="10"/>
      <c r="B152" s="327" t="s">
        <v>144</v>
      </c>
      <c r="C152" s="158"/>
      <c r="D152" s="158"/>
      <c r="E152" s="158"/>
      <c r="F152" s="158"/>
      <c r="G152" s="158"/>
      <c r="H152" s="56"/>
      <c r="I152" s="56"/>
      <c r="J152" s="56"/>
    </row>
    <row r="153" spans="1:10" ht="13.5" thickBot="1">
      <c r="A153" s="10"/>
      <c r="B153" s="328" t="s">
        <v>145</v>
      </c>
      <c r="C153" s="343">
        <v>869</v>
      </c>
      <c r="D153" s="343">
        <v>888</v>
      </c>
      <c r="E153" s="343">
        <v>888</v>
      </c>
      <c r="F153" s="343">
        <v>888</v>
      </c>
      <c r="G153" s="343">
        <v>888</v>
      </c>
      <c r="H153" s="56"/>
      <c r="I153" s="56"/>
      <c r="J153" s="56"/>
    </row>
    <row r="154" spans="1:10" ht="12.75">
      <c r="A154" s="10"/>
      <c r="B154" s="159"/>
      <c r="C154" s="166"/>
      <c r="D154" s="166"/>
      <c r="E154" s="166"/>
      <c r="F154" s="166"/>
      <c r="G154" s="166"/>
      <c r="H154" s="56"/>
      <c r="I154" s="56"/>
      <c r="J154" s="56"/>
    </row>
    <row r="155" spans="1:10" ht="14.25" thickBot="1">
      <c r="A155" s="10"/>
      <c r="B155" s="329" t="s">
        <v>214</v>
      </c>
      <c r="C155" s="56"/>
      <c r="D155" s="56"/>
      <c r="E155" s="56"/>
      <c r="F155" s="56"/>
      <c r="G155" s="56"/>
      <c r="H155" s="56"/>
      <c r="I155" s="56"/>
      <c r="J155" s="56"/>
    </row>
    <row r="156" spans="2:10" ht="13.5" thickBot="1">
      <c r="B156" s="325" t="s">
        <v>60</v>
      </c>
      <c r="C156" s="326">
        <v>2011</v>
      </c>
      <c r="D156" s="326">
        <v>2012</v>
      </c>
      <c r="E156" s="326">
        <v>2013</v>
      </c>
      <c r="F156" s="326">
        <v>2014</v>
      </c>
      <c r="G156" s="326">
        <v>2015</v>
      </c>
      <c r="H156" s="56"/>
      <c r="I156" s="56"/>
      <c r="J156" s="56"/>
    </row>
    <row r="157" spans="2:10" ht="13.5" thickBot="1">
      <c r="B157" s="327" t="s">
        <v>206</v>
      </c>
      <c r="C157" s="158"/>
      <c r="D157" s="158"/>
      <c r="E157" s="158"/>
      <c r="F157" s="158"/>
      <c r="G157" s="158"/>
      <c r="H157" s="56"/>
      <c r="I157" s="56"/>
      <c r="J157" s="56"/>
    </row>
    <row r="158" spans="2:10" ht="13.5" thickBot="1">
      <c r="B158" s="328" t="s">
        <v>146</v>
      </c>
      <c r="C158" s="331">
        <f>Capacity!E6</f>
        <v>851.31</v>
      </c>
      <c r="D158" s="331">
        <f>Capacity!F6</f>
        <v>860.31</v>
      </c>
      <c r="E158" s="331">
        <f>Capacity!G6</f>
        <v>860.31</v>
      </c>
      <c r="F158" s="331">
        <f>Capacity!H6</f>
        <v>860.31</v>
      </c>
      <c r="G158" s="331">
        <f>Capacity!I6</f>
        <v>860.31</v>
      </c>
      <c r="H158" s="56"/>
      <c r="I158" s="56"/>
      <c r="J158" s="56"/>
    </row>
    <row r="159" spans="2:10" ht="13.5" thickBot="1">
      <c r="B159" s="330" t="s">
        <v>147</v>
      </c>
      <c r="C159" s="332">
        <f>Throughput!E6</f>
        <v>703.0736199999999</v>
      </c>
      <c r="D159" s="332">
        <f>Throughput!F6</f>
        <v>718.8172199999999</v>
      </c>
      <c r="E159" s="332">
        <f>Throughput!G6</f>
        <v>719.71722</v>
      </c>
      <c r="F159" s="332">
        <f>Throughput!H6</f>
        <v>725.8464726666648</v>
      </c>
      <c r="G159" s="332">
        <f>Throughput!I6</f>
        <v>732.5209612466649</v>
      </c>
      <c r="H159" s="56"/>
      <c r="I159" s="56"/>
      <c r="J159" s="56"/>
    </row>
    <row r="160" spans="2:10" ht="13.5" thickBot="1">
      <c r="B160" s="327" t="s">
        <v>148</v>
      </c>
      <c r="C160" s="333"/>
      <c r="D160" s="333"/>
      <c r="E160" s="333"/>
      <c r="F160" s="333"/>
      <c r="G160" s="333"/>
      <c r="H160" s="56"/>
      <c r="I160" s="56"/>
      <c r="J160" s="56"/>
    </row>
    <row r="161" spans="2:10" ht="13.5" thickBot="1">
      <c r="B161" s="328" t="s">
        <v>146</v>
      </c>
      <c r="C161" s="331">
        <f>Capacity!E9+Capacity!E12+Capacity!E15</f>
        <v>215.38</v>
      </c>
      <c r="D161" s="331">
        <f>Capacity!F9+Capacity!F12+Capacity!F15</f>
        <v>215.38</v>
      </c>
      <c r="E161" s="331">
        <f>Capacity!G9+Capacity!G12+Capacity!G15</f>
        <v>215.38</v>
      </c>
      <c r="F161" s="331">
        <f>Capacity!H9+Capacity!H12+Capacity!H15</f>
        <v>215.38</v>
      </c>
      <c r="G161" s="331">
        <f>Capacity!I9+Capacity!I12+Capacity!I15</f>
        <v>215.38</v>
      </c>
      <c r="H161" s="56"/>
      <c r="I161" s="56"/>
      <c r="J161" s="56"/>
    </row>
    <row r="162" spans="2:10" ht="13.5" thickBot="1">
      <c r="B162" s="330" t="s">
        <v>147</v>
      </c>
      <c r="C162" s="332">
        <f>Throughput!E9+Throughput!E12+Throughput!E15</f>
        <v>191.458</v>
      </c>
      <c r="D162" s="332">
        <f>Throughput!F9+Throughput!F12+Throughput!F15</f>
        <v>189.708</v>
      </c>
      <c r="E162" s="332">
        <f>Throughput!G9+Throughput!G12+Throughput!G15</f>
        <v>189.708</v>
      </c>
      <c r="F162" s="332">
        <f>Throughput!H9+Throughput!H12+Throughput!H15</f>
        <v>189.708</v>
      </c>
      <c r="G162" s="332">
        <f>Throughput!I9+Throughput!I12+Throughput!I15</f>
        <v>189.708</v>
      </c>
      <c r="H162" s="56"/>
      <c r="I162" s="56"/>
      <c r="J162" s="56"/>
    </row>
    <row r="163" spans="2:10" ht="13.5" thickBot="1">
      <c r="B163" s="327" t="s">
        <v>149</v>
      </c>
      <c r="C163" s="333"/>
      <c r="D163" s="333"/>
      <c r="E163" s="333"/>
      <c r="F163" s="333"/>
      <c r="G163" s="333"/>
      <c r="H163" s="56"/>
      <c r="I163" s="56"/>
      <c r="J163" s="56"/>
    </row>
    <row r="164" spans="2:10" ht="13.5" thickBot="1">
      <c r="B164" s="328" t="s">
        <v>146</v>
      </c>
      <c r="C164" s="331">
        <f>Capacity!E18</f>
        <v>130.04666666666668</v>
      </c>
      <c r="D164" s="331">
        <f>Capacity!F18</f>
        <v>130.04666666666668</v>
      </c>
      <c r="E164" s="331">
        <f>Capacity!G18</f>
        <v>130.04666666666668</v>
      </c>
      <c r="F164" s="331">
        <f>Capacity!H18</f>
        <v>130.04666666666668</v>
      </c>
      <c r="G164" s="331">
        <f>Capacity!I18</f>
        <v>130.04666666666668</v>
      </c>
      <c r="H164" s="56"/>
      <c r="I164" s="56"/>
      <c r="J164" s="56"/>
    </row>
    <row r="165" spans="2:10" ht="13.5" thickBot="1">
      <c r="B165" s="330" t="s">
        <v>147</v>
      </c>
      <c r="C165" s="332">
        <f>Throughput!E18</f>
        <v>112.26733333333333</v>
      </c>
      <c r="D165" s="332">
        <f>Throughput!F18</f>
        <v>112.26733333333333</v>
      </c>
      <c r="E165" s="332">
        <f>Throughput!G18</f>
        <v>112.26733333333333</v>
      </c>
      <c r="F165" s="332">
        <f>Throughput!H18</f>
        <v>112.26733333333333</v>
      </c>
      <c r="G165" s="332">
        <f>Throughput!I18</f>
        <v>112.26733333333333</v>
      </c>
      <c r="H165" s="56"/>
      <c r="I165" s="56"/>
      <c r="J165" s="56"/>
    </row>
    <row r="166" spans="2:10" ht="12.75">
      <c r="B166" s="201"/>
      <c r="C166" s="202"/>
      <c r="D166" s="202"/>
      <c r="E166" s="202"/>
      <c r="F166" s="202"/>
      <c r="G166" s="202"/>
      <c r="H166" s="56"/>
      <c r="I166" s="56"/>
      <c r="J166" s="56"/>
    </row>
    <row r="167" spans="2:10" ht="14.25" thickBot="1">
      <c r="B167" s="147" t="s">
        <v>215</v>
      </c>
      <c r="C167" s="56"/>
      <c r="D167" s="56"/>
      <c r="E167" s="56"/>
      <c r="F167" s="56"/>
      <c r="G167" s="56"/>
      <c r="H167" s="56"/>
      <c r="I167" s="56"/>
      <c r="J167" s="56"/>
    </row>
    <row r="168" spans="2:10" ht="12" customHeight="1">
      <c r="B168" s="150" t="s">
        <v>60</v>
      </c>
      <c r="C168" s="179">
        <v>2011</v>
      </c>
      <c r="D168" s="179">
        <v>2012</v>
      </c>
      <c r="E168" s="179">
        <v>2013</v>
      </c>
      <c r="F168" s="179">
        <v>2014</v>
      </c>
      <c r="G168" s="179">
        <v>2015</v>
      </c>
      <c r="H168" s="56"/>
      <c r="I168" s="56"/>
      <c r="J168" s="56"/>
    </row>
    <row r="169" spans="2:10" ht="12.75">
      <c r="B169" s="167" t="s">
        <v>77</v>
      </c>
      <c r="C169" s="162"/>
      <c r="D169" s="163"/>
      <c r="E169" s="163"/>
      <c r="F169" s="163"/>
      <c r="G169" s="163"/>
      <c r="H169" s="163"/>
      <c r="I169" s="56"/>
      <c r="J169" s="56"/>
    </row>
    <row r="170" spans="2:10" ht="12.75">
      <c r="B170" s="201" t="s">
        <v>98</v>
      </c>
      <c r="C170" s="202"/>
      <c r="D170" s="202"/>
      <c r="E170" s="202"/>
      <c r="F170" s="202"/>
      <c r="G170" s="202"/>
      <c r="H170" s="56"/>
      <c r="I170" s="56"/>
      <c r="J170" s="56"/>
    </row>
    <row r="171" spans="2:10" ht="12.75">
      <c r="B171" s="191" t="str">
        <f>OPEX!B5</f>
        <v>Wages &amp; Salaries</v>
      </c>
      <c r="C171" s="212">
        <f>OPEX!D5</f>
        <v>27.044</v>
      </c>
      <c r="D171" s="212">
        <f>OPEX!E5</f>
        <v>28.936999999999998</v>
      </c>
      <c r="E171" s="212">
        <f>OPEX!F5</f>
        <v>30.963</v>
      </c>
      <c r="F171" s="212">
        <f>OPEX!G5</f>
        <v>33.13</v>
      </c>
      <c r="G171" s="212">
        <f>OPEX!H5</f>
        <v>34.786</v>
      </c>
      <c r="H171" s="56"/>
      <c r="I171" s="56"/>
      <c r="J171" s="56"/>
    </row>
    <row r="172" spans="2:10" ht="12.75">
      <c r="B172" s="191" t="str">
        <f>OPEX!B6</f>
        <v>Non-Field Expense</v>
      </c>
      <c r="C172" s="212">
        <f>OPEX!D6</f>
        <v>18.433000000000003</v>
      </c>
      <c r="D172" s="212">
        <f>OPEX!E6</f>
        <v>18.907</v>
      </c>
      <c r="E172" s="212">
        <f>OPEX!F6</f>
        <v>19.393000000000004</v>
      </c>
      <c r="F172" s="212">
        <f>OPEX!G6</f>
        <v>20.505</v>
      </c>
      <c r="G172" s="212">
        <f>OPEX!H6</f>
        <v>21.031</v>
      </c>
      <c r="H172" s="56"/>
      <c r="I172" s="56"/>
      <c r="J172" s="56"/>
    </row>
    <row r="173" spans="2:10" ht="12.75">
      <c r="B173" s="191" t="str">
        <f>OPEX!B7</f>
        <v>Field Expense</v>
      </c>
      <c r="C173" s="212">
        <f>OPEX!D7</f>
        <v>19.147</v>
      </c>
      <c r="D173" s="212">
        <f>OPEX!E7</f>
        <v>19.639</v>
      </c>
      <c r="E173" s="212">
        <f>OPEX!F7</f>
        <v>20.143</v>
      </c>
      <c r="F173" s="212">
        <f>OPEX!G7</f>
        <v>20.66</v>
      </c>
      <c r="G173" s="212">
        <f>OPEX!H7</f>
        <v>21.192</v>
      </c>
      <c r="H173" s="56"/>
      <c r="I173" s="56"/>
      <c r="J173" s="56"/>
    </row>
    <row r="174" spans="2:10" ht="12.75">
      <c r="B174" s="191" t="str">
        <f>OPEX!B8</f>
        <v>Government Charges</v>
      </c>
      <c r="C174" s="212">
        <f>OPEX!D8</f>
        <v>11.238</v>
      </c>
      <c r="D174" s="212">
        <f>OPEX!E8</f>
        <v>15.24589821</v>
      </c>
      <c r="E174" s="212">
        <f>OPEX!F8</f>
        <v>19.261910298</v>
      </c>
      <c r="F174" s="212">
        <f>OPEX!G8</f>
        <v>19.832465907</v>
      </c>
      <c r="G174" s="212">
        <f>OPEX!H8</f>
        <v>20.376503265</v>
      </c>
      <c r="H174" s="56"/>
      <c r="I174" s="56"/>
      <c r="J174" s="56"/>
    </row>
    <row r="175" spans="2:10" ht="12.75">
      <c r="B175" s="191" t="str">
        <f>OPEX!B9</f>
        <v>Reactive Maintenance</v>
      </c>
      <c r="C175" s="212">
        <f>OPEX!D9</f>
        <v>1.2</v>
      </c>
      <c r="D175" s="212">
        <f>OPEX!E9</f>
        <v>1.231</v>
      </c>
      <c r="E175" s="212">
        <f>OPEX!F9</f>
        <v>1.263</v>
      </c>
      <c r="F175" s="212">
        <f>OPEX!G9</f>
        <v>1.295</v>
      </c>
      <c r="G175" s="212">
        <f>OPEX!H9</f>
        <v>1.328</v>
      </c>
      <c r="H175" s="56"/>
      <c r="I175" s="56"/>
      <c r="J175" s="56"/>
    </row>
    <row r="176" spans="2:10" ht="12.75">
      <c r="B176" s="191" t="str">
        <f>OPEX!B10</f>
        <v>System Use Gas (full haul)</v>
      </c>
      <c r="C176" s="212">
        <f>OPEX!D10</f>
        <v>20.91919445379827</v>
      </c>
      <c r="D176" s="212">
        <f>OPEX!E10</f>
        <v>22.669859292538124</v>
      </c>
      <c r="E176" s="212">
        <f>OPEX!F10</f>
        <v>23.152669284093356</v>
      </c>
      <c r="F176" s="212">
        <f>OPEX!G10</f>
        <v>26.156109933578907</v>
      </c>
      <c r="G176" s="212">
        <f>OPEX!H10</f>
        <v>27.322111738406218</v>
      </c>
      <c r="H176" s="56"/>
      <c r="I176" s="56"/>
      <c r="J176" s="56"/>
    </row>
    <row r="177" spans="2:10" ht="12.75">
      <c r="B177" s="192" t="s">
        <v>89</v>
      </c>
      <c r="C177" s="213">
        <f>SUM(C171:C176)</f>
        <v>97.98119445379827</v>
      </c>
      <c r="D177" s="213">
        <f>SUM(D171:D176)</f>
        <v>106.6297575025381</v>
      </c>
      <c r="E177" s="213">
        <f>SUM(E171:E176)</f>
        <v>114.17657958209338</v>
      </c>
      <c r="F177" s="213">
        <f>SUM(F171:F176)</f>
        <v>121.5785758405789</v>
      </c>
      <c r="G177" s="213">
        <f>SUM(G171:G176)</f>
        <v>126.03561500340622</v>
      </c>
      <c r="H177" s="56"/>
      <c r="I177" s="56"/>
      <c r="J177" s="56"/>
    </row>
    <row r="178" spans="3:10" ht="12.75">
      <c r="C178" s="56"/>
      <c r="D178" s="56"/>
      <c r="E178" s="56"/>
      <c r="F178" s="56"/>
      <c r="G178" s="56"/>
      <c r="H178" s="56"/>
      <c r="I178" s="56"/>
      <c r="J178" s="56"/>
    </row>
    <row r="179" spans="2:10" s="10" customFormat="1" ht="12.75">
      <c r="B179" s="356" t="s">
        <v>238</v>
      </c>
      <c r="C179" s="357"/>
      <c r="D179" s="357"/>
      <c r="E179" s="56"/>
      <c r="F179" s="56"/>
      <c r="G179" s="56"/>
      <c r="H179" s="56"/>
      <c r="I179" s="56"/>
      <c r="J179" s="56"/>
    </row>
    <row r="180" spans="2:10" s="10" customFormat="1" ht="13.5" thickBot="1">
      <c r="B180" s="357"/>
      <c r="C180" s="357"/>
      <c r="D180" s="357"/>
      <c r="E180" s="56"/>
      <c r="F180" s="56"/>
      <c r="G180" s="56"/>
      <c r="H180" s="56"/>
      <c r="I180" s="56"/>
      <c r="J180" s="56"/>
    </row>
    <row r="181" spans="2:10" s="10" customFormat="1" ht="13.5" thickBot="1">
      <c r="B181" s="358" t="s">
        <v>106</v>
      </c>
      <c r="C181" s="359"/>
      <c r="D181" s="360" t="s">
        <v>127</v>
      </c>
      <c r="E181" s="56"/>
      <c r="F181" s="56"/>
      <c r="G181" s="56"/>
      <c r="H181" s="56"/>
      <c r="I181" s="56"/>
      <c r="J181" s="56"/>
    </row>
    <row r="182" spans="2:10" s="10" customFormat="1" ht="12.75">
      <c r="B182" s="361" t="s">
        <v>229</v>
      </c>
      <c r="C182" s="362"/>
      <c r="D182" s="363"/>
      <c r="E182" s="56"/>
      <c r="F182" s="56"/>
      <c r="G182" s="56"/>
      <c r="H182" s="56"/>
      <c r="I182" s="56"/>
      <c r="J182" s="56"/>
    </row>
    <row r="183" spans="2:10" s="10" customFormat="1" ht="15">
      <c r="B183" s="351" t="s">
        <v>230</v>
      </c>
      <c r="C183" s="162" t="s">
        <v>231</v>
      </c>
      <c r="D183" s="350">
        <v>0.0571</v>
      </c>
      <c r="E183" s="56"/>
      <c r="F183" s="56"/>
      <c r="G183" s="56"/>
      <c r="H183" s="56"/>
      <c r="I183" s="56"/>
      <c r="J183" s="56"/>
    </row>
    <row r="184" spans="2:10" s="10" customFormat="1" ht="12.75">
      <c r="B184" s="351" t="s">
        <v>232</v>
      </c>
      <c r="C184" s="352" t="s">
        <v>233</v>
      </c>
      <c r="D184" s="353">
        <v>0.8</v>
      </c>
      <c r="E184" s="56"/>
      <c r="F184" s="56"/>
      <c r="G184" s="56"/>
      <c r="H184" s="56"/>
      <c r="I184" s="56"/>
      <c r="J184" s="56"/>
    </row>
    <row r="185" spans="2:10" s="10" customFormat="1" ht="12.75">
      <c r="B185" s="351" t="s">
        <v>234</v>
      </c>
      <c r="C185" s="162" t="s">
        <v>235</v>
      </c>
      <c r="D185" s="350">
        <v>0.065</v>
      </c>
      <c r="E185" s="56"/>
      <c r="F185" s="56"/>
      <c r="G185" s="56"/>
      <c r="H185" s="56"/>
      <c r="I185" s="56"/>
      <c r="J185" s="56"/>
    </row>
    <row r="186" spans="2:10" s="10" customFormat="1" ht="29.25" thickBot="1">
      <c r="B186" s="364" t="s">
        <v>236</v>
      </c>
      <c r="C186" s="365" t="s">
        <v>237</v>
      </c>
      <c r="D186" s="355">
        <f>D183+D184*D185</f>
        <v>0.1091</v>
      </c>
      <c r="E186" s="56"/>
      <c r="F186" s="56"/>
      <c r="G186" s="56"/>
      <c r="H186" s="56"/>
      <c r="I186" s="56"/>
      <c r="J186" s="56"/>
    </row>
    <row r="187" spans="3:10" ht="12.75">
      <c r="C187" s="56"/>
      <c r="D187" s="56"/>
      <c r="E187" s="56"/>
      <c r="F187" s="56"/>
      <c r="G187" s="56"/>
      <c r="H187" s="56"/>
      <c r="I187" s="56"/>
      <c r="J187" s="56"/>
    </row>
    <row r="188" spans="2:10" ht="12.75">
      <c r="B188" s="1" t="s">
        <v>221</v>
      </c>
      <c r="C188" s="56"/>
      <c r="D188" s="56"/>
      <c r="E188" s="56"/>
      <c r="F188" s="56"/>
      <c r="G188" s="56"/>
      <c r="H188" s="56"/>
      <c r="I188" s="56"/>
      <c r="J188" s="56"/>
    </row>
    <row r="189" spans="2:10" ht="13.5" thickBot="1">
      <c r="B189" s="1"/>
      <c r="C189" s="56"/>
      <c r="D189" s="56"/>
      <c r="E189" s="56"/>
      <c r="F189" s="56"/>
      <c r="G189" s="56"/>
      <c r="H189" s="56"/>
      <c r="I189" s="56"/>
      <c r="J189" s="56"/>
    </row>
    <row r="190" spans="2:10" ht="13.5" thickBot="1">
      <c r="B190" s="344" t="s">
        <v>106</v>
      </c>
      <c r="C190" s="345"/>
      <c r="D190" s="346" t="s">
        <v>127</v>
      </c>
      <c r="E190" s="56"/>
      <c r="F190" s="56"/>
      <c r="G190" s="56"/>
      <c r="H190" s="56"/>
      <c r="I190" s="56"/>
      <c r="J190" s="56"/>
    </row>
    <row r="191" spans="2:10" ht="12.75">
      <c r="B191" s="349" t="s">
        <v>107</v>
      </c>
      <c r="C191" s="366"/>
      <c r="D191" s="367"/>
      <c r="E191" s="56"/>
      <c r="F191" s="56"/>
      <c r="G191" s="56"/>
      <c r="H191" s="56"/>
      <c r="I191" s="56"/>
      <c r="J191" s="56"/>
    </row>
    <row r="192" spans="2:10" ht="15">
      <c r="B192" s="368" t="s">
        <v>108</v>
      </c>
      <c r="C192" s="254" t="s">
        <v>239</v>
      </c>
      <c r="D192" s="350">
        <f>D186</f>
        <v>0.1091</v>
      </c>
      <c r="E192" s="56"/>
      <c r="F192" s="56"/>
      <c r="G192" s="56"/>
      <c r="H192" s="56"/>
      <c r="I192" s="56"/>
      <c r="J192" s="56"/>
    </row>
    <row r="193" spans="2:10" ht="15">
      <c r="B193" s="368" t="s">
        <v>109</v>
      </c>
      <c r="C193" s="254" t="s">
        <v>240</v>
      </c>
      <c r="D193" s="350">
        <v>0.1221</v>
      </c>
      <c r="E193" s="56"/>
      <c r="F193" s="56"/>
      <c r="G193" s="56"/>
      <c r="H193" s="56"/>
      <c r="I193" s="56"/>
      <c r="J193" s="56"/>
    </row>
    <row r="194" spans="2:10" ht="15">
      <c r="B194" s="368" t="s">
        <v>110</v>
      </c>
      <c r="C194" s="254" t="s">
        <v>241</v>
      </c>
      <c r="D194" s="350">
        <v>0.1172</v>
      </c>
      <c r="E194" s="56"/>
      <c r="F194" s="56"/>
      <c r="G194" s="56"/>
      <c r="H194" s="56"/>
      <c r="I194" s="56"/>
      <c r="J194" s="56"/>
    </row>
    <row r="195" spans="2:10" ht="15">
      <c r="B195" s="368" t="s">
        <v>111</v>
      </c>
      <c r="C195" s="254" t="s">
        <v>242</v>
      </c>
      <c r="D195" s="350">
        <v>0.1456</v>
      </c>
      <c r="E195" s="56"/>
      <c r="F195" s="56"/>
      <c r="G195" s="56"/>
      <c r="H195" s="56"/>
      <c r="I195" s="56"/>
      <c r="J195" s="56"/>
    </row>
    <row r="196" spans="2:10" ht="15">
      <c r="B196" s="349" t="s">
        <v>112</v>
      </c>
      <c r="C196" s="254" t="s">
        <v>243</v>
      </c>
      <c r="D196" s="350">
        <v>0.095</v>
      </c>
      <c r="E196" s="56"/>
      <c r="F196" s="56"/>
      <c r="G196" s="56"/>
      <c r="H196" s="56"/>
      <c r="I196" s="56"/>
      <c r="J196" s="56"/>
    </row>
    <row r="197" spans="2:10" ht="12.75">
      <c r="B197" s="349" t="s">
        <v>113</v>
      </c>
      <c r="C197" s="254" t="s">
        <v>128</v>
      </c>
      <c r="D197" s="350">
        <v>0.6</v>
      </c>
      <c r="E197" s="56"/>
      <c r="F197" s="56"/>
      <c r="G197" s="56"/>
      <c r="H197" s="56"/>
      <c r="I197" s="56"/>
      <c r="J197" s="56"/>
    </row>
    <row r="198" spans="2:10" ht="12.75">
      <c r="B198" s="349" t="s">
        <v>114</v>
      </c>
      <c r="C198" s="254" t="s">
        <v>129</v>
      </c>
      <c r="D198" s="350">
        <v>0.3</v>
      </c>
      <c r="E198" s="56"/>
      <c r="F198" s="56"/>
      <c r="G198" s="56"/>
      <c r="H198" s="56"/>
      <c r="I198" s="56"/>
      <c r="J198" s="56"/>
    </row>
    <row r="199" spans="2:10" ht="12.75">
      <c r="B199" s="349" t="s">
        <v>115</v>
      </c>
      <c r="C199" s="254" t="s">
        <v>130</v>
      </c>
      <c r="D199" s="369">
        <v>0</v>
      </c>
      <c r="E199" s="56"/>
      <c r="F199" s="56"/>
      <c r="G199" s="56"/>
      <c r="H199" s="56"/>
      <c r="I199" s="56"/>
      <c r="J199" s="56"/>
    </row>
    <row r="200" spans="2:10" ht="15.75" thickBot="1">
      <c r="B200" s="370" t="s">
        <v>116</v>
      </c>
      <c r="C200" s="354" t="s">
        <v>244</v>
      </c>
      <c r="D200" s="371">
        <v>0.0257</v>
      </c>
      <c r="E200" s="56"/>
      <c r="F200" s="56"/>
      <c r="G200" s="56"/>
      <c r="H200" s="56"/>
      <c r="I200" s="56"/>
      <c r="J200" s="56"/>
    </row>
    <row r="201" spans="2:10" ht="13.5" thickBot="1">
      <c r="B201" s="372" t="s">
        <v>117</v>
      </c>
      <c r="C201" s="373"/>
      <c r="D201" s="374"/>
      <c r="E201" s="56"/>
      <c r="F201" s="56"/>
      <c r="G201" s="56"/>
      <c r="H201" s="56"/>
      <c r="I201" s="56"/>
      <c r="J201" s="56"/>
    </row>
    <row r="202" spans="2:10" ht="12.75">
      <c r="B202" s="347" t="s">
        <v>118</v>
      </c>
      <c r="C202" s="375"/>
      <c r="D202" s="348"/>
      <c r="E202" s="56"/>
      <c r="F202" s="56"/>
      <c r="G202" s="56"/>
      <c r="H202" s="56"/>
      <c r="I202" s="56"/>
      <c r="J202" s="56"/>
    </row>
    <row r="203" spans="2:10" ht="12.75">
      <c r="B203" s="368" t="s">
        <v>119</v>
      </c>
      <c r="C203" s="208"/>
      <c r="D203" s="350">
        <f>(1+(D192*(1-$D$197)/(1-$D$198*(1-$D$199))+$D$196*$D$197))/(1+$D$200)-1</f>
        <v>0.09129653616345634</v>
      </c>
      <c r="E203" s="56"/>
      <c r="F203" s="56"/>
      <c r="G203" s="56"/>
      <c r="H203" s="56"/>
      <c r="I203" s="56"/>
      <c r="J203" s="56"/>
    </row>
    <row r="204" spans="2:10" ht="12.75">
      <c r="B204" s="368" t="s">
        <v>109</v>
      </c>
      <c r="C204" s="208"/>
      <c r="D204" s="350">
        <f>(1+(D193*(1-$D$197)/(1-$D$198*(1-$D$199))+$D$196*$D$197))/(1+$D$200)-1</f>
        <v>0.09853897686597302</v>
      </c>
      <c r="E204" s="56"/>
      <c r="F204" s="56"/>
      <c r="G204" s="56"/>
      <c r="H204" s="56"/>
      <c r="I204" s="56"/>
      <c r="J204" s="56"/>
    </row>
    <row r="205" spans="2:10" ht="12.75">
      <c r="B205" s="368" t="s">
        <v>110</v>
      </c>
      <c r="C205" s="208"/>
      <c r="D205" s="350">
        <f>(1+(D194*(1-$D$197)/(1-$D$198*(1-$D$199))+$D$196*$D$197))/(1+$D$200)-1</f>
        <v>0.09580913383194756</v>
      </c>
      <c r="E205" s="56"/>
      <c r="F205" s="56"/>
      <c r="G205" s="56"/>
      <c r="H205" s="56"/>
      <c r="I205" s="56"/>
      <c r="J205" s="56"/>
    </row>
    <row r="206" spans="2:10" ht="13.5" thickBot="1">
      <c r="B206" s="376" t="s">
        <v>111</v>
      </c>
      <c r="C206" s="354"/>
      <c r="D206" s="371">
        <f>(1+(D195*(1-$D$197)/(1-$D$198*(1-$D$199))+$D$196*$D$197))/(1+$D$200)-1</f>
        <v>0.11163108121283027</v>
      </c>
      <c r="E206" s="56"/>
      <c r="F206" s="56"/>
      <c r="G206" s="56"/>
      <c r="H206" s="56"/>
      <c r="I206" s="56"/>
      <c r="J206" s="56"/>
    </row>
    <row r="207" spans="2:10" ht="12.75">
      <c r="B207" s="1"/>
      <c r="C207" s="56"/>
      <c r="D207" s="56"/>
      <c r="E207" s="56"/>
      <c r="F207" s="56"/>
      <c r="G207" s="56"/>
      <c r="H207" s="56"/>
      <c r="I207" s="56"/>
      <c r="J207" s="56"/>
    </row>
    <row r="208" spans="2:10" ht="12.75">
      <c r="B208" s="1" t="s">
        <v>222</v>
      </c>
      <c r="C208" s="56"/>
      <c r="D208" s="56"/>
      <c r="E208" s="56"/>
      <c r="F208" s="56"/>
      <c r="G208" s="56"/>
      <c r="H208" s="56"/>
      <c r="I208" s="56"/>
      <c r="J208" s="56"/>
    </row>
    <row r="209" spans="2:10" ht="13.5" thickBot="1">
      <c r="B209" s="1"/>
      <c r="C209" s="56"/>
      <c r="D209" s="56"/>
      <c r="E209" s="56"/>
      <c r="F209" s="56"/>
      <c r="G209" s="56"/>
      <c r="H209" s="56"/>
      <c r="I209" s="56"/>
      <c r="J209" s="56"/>
    </row>
    <row r="210" spans="2:10" ht="18">
      <c r="B210" s="258" t="s">
        <v>165</v>
      </c>
      <c r="C210" s="258"/>
      <c r="D210" s="258"/>
      <c r="E210" s="257"/>
      <c r="F210" s="56"/>
      <c r="G210" s="56"/>
      <c r="H210" s="56"/>
      <c r="I210" s="56"/>
      <c r="J210" s="56"/>
    </row>
    <row r="211" spans="2:10" ht="18">
      <c r="B211" s="259" t="s">
        <v>166</v>
      </c>
      <c r="C211" s="259"/>
      <c r="D211" s="259"/>
      <c r="E211" s="257"/>
      <c r="F211" s="56"/>
      <c r="G211" s="56"/>
      <c r="H211" s="56"/>
      <c r="I211" s="56"/>
      <c r="J211" s="56"/>
    </row>
    <row r="212" spans="2:10" ht="18">
      <c r="B212" s="259" t="s">
        <v>167</v>
      </c>
      <c r="C212" s="259"/>
      <c r="D212" s="259"/>
      <c r="E212" s="257"/>
      <c r="F212" s="56"/>
      <c r="G212" s="56"/>
      <c r="H212" s="56"/>
      <c r="I212" s="56"/>
      <c r="J212" s="56"/>
    </row>
    <row r="213" spans="2:10" ht="15">
      <c r="B213" s="259" t="s">
        <v>159</v>
      </c>
      <c r="C213" s="259"/>
      <c r="D213" s="259"/>
      <c r="E213" s="257"/>
      <c r="F213" s="56"/>
      <c r="G213" s="56"/>
      <c r="H213" s="56"/>
      <c r="I213" s="56"/>
      <c r="J213" s="56"/>
    </row>
    <row r="214" spans="2:10" ht="15">
      <c r="B214" s="259" t="s">
        <v>160</v>
      </c>
      <c r="C214" s="259"/>
      <c r="D214" s="259"/>
      <c r="E214" s="257"/>
      <c r="F214" s="56"/>
      <c r="G214" s="56"/>
      <c r="H214" s="56"/>
      <c r="I214" s="56"/>
      <c r="J214" s="56"/>
    </row>
    <row r="215" spans="2:10" ht="15">
      <c r="B215" s="259" t="s">
        <v>161</v>
      </c>
      <c r="C215" s="259"/>
      <c r="D215" s="259"/>
      <c r="E215" s="257"/>
      <c r="F215" s="56"/>
      <c r="G215" s="56"/>
      <c r="H215" s="56"/>
      <c r="I215" s="56"/>
      <c r="J215" s="56"/>
    </row>
    <row r="216" spans="2:10" ht="15">
      <c r="B216" s="259" t="s">
        <v>162</v>
      </c>
      <c r="C216" s="259"/>
      <c r="D216" s="259"/>
      <c r="E216" s="257"/>
      <c r="F216" s="56"/>
      <c r="G216" s="56"/>
      <c r="H216" s="56"/>
      <c r="I216" s="56"/>
      <c r="J216" s="56"/>
    </row>
    <row r="217" spans="2:10" ht="15">
      <c r="B217" s="259" t="s">
        <v>163</v>
      </c>
      <c r="C217" s="259"/>
      <c r="D217" s="259"/>
      <c r="E217" s="257"/>
      <c r="F217" s="56"/>
      <c r="G217" s="56"/>
      <c r="H217" s="56"/>
      <c r="I217" s="56"/>
      <c r="J217" s="56"/>
    </row>
    <row r="218" spans="2:10" ht="18">
      <c r="B218" s="259" t="s">
        <v>168</v>
      </c>
      <c r="C218" s="259"/>
      <c r="D218" s="259"/>
      <c r="E218" s="257"/>
      <c r="F218" s="56"/>
      <c r="G218" s="56"/>
      <c r="H218" s="56"/>
      <c r="I218" s="56"/>
      <c r="J218" s="56"/>
    </row>
    <row r="219" spans="2:10" ht="15">
      <c r="B219" s="259" t="s">
        <v>164</v>
      </c>
      <c r="C219" s="259"/>
      <c r="D219" s="259"/>
      <c r="E219" s="257"/>
      <c r="F219" s="56"/>
      <c r="G219" s="56"/>
      <c r="H219" s="56"/>
      <c r="I219" s="56"/>
      <c r="J219" s="56"/>
    </row>
    <row r="220" spans="2:10" ht="18.75">
      <c r="B220" s="259" t="s">
        <v>169</v>
      </c>
      <c r="C220" s="259"/>
      <c r="D220" s="259"/>
      <c r="E220" s="257"/>
      <c r="F220" s="56"/>
      <c r="G220" s="56"/>
      <c r="H220" s="56"/>
      <c r="I220" s="56"/>
      <c r="J220" s="56"/>
    </row>
    <row r="221" spans="2:10" ht="18" thickBot="1">
      <c r="B221" s="260" t="s">
        <v>170</v>
      </c>
      <c r="C221" s="261"/>
      <c r="D221" s="261"/>
      <c r="E221" s="257"/>
      <c r="F221" s="56"/>
      <c r="G221" s="56"/>
      <c r="H221" s="56"/>
      <c r="I221" s="56"/>
      <c r="J221" s="56"/>
    </row>
    <row r="222" spans="2:10" ht="13.5" thickBot="1">
      <c r="B222" s="1"/>
      <c r="C222" s="56"/>
      <c r="D222" s="56"/>
      <c r="E222" s="56"/>
      <c r="F222" s="56"/>
      <c r="G222" s="56"/>
      <c r="H222" s="56"/>
      <c r="I222" s="56"/>
      <c r="J222" s="56"/>
    </row>
    <row r="223" spans="2:10" ht="13.5" thickBot="1">
      <c r="B223" s="231" t="s">
        <v>106</v>
      </c>
      <c r="C223" s="232"/>
      <c r="D223" s="233" t="s">
        <v>131</v>
      </c>
      <c r="E223" s="56"/>
      <c r="F223" s="56"/>
      <c r="G223" s="56"/>
      <c r="H223" s="56"/>
      <c r="I223" s="56"/>
      <c r="J223" s="56"/>
    </row>
    <row r="224" spans="2:10" ht="12.75">
      <c r="B224" s="234" t="s">
        <v>121</v>
      </c>
      <c r="C224" s="244"/>
      <c r="D224" s="241">
        <f>'Rate of Return'!E7</f>
        <v>0.125</v>
      </c>
      <c r="E224" s="56"/>
      <c r="F224" s="56"/>
      <c r="G224" s="56"/>
      <c r="H224" s="56"/>
      <c r="I224" s="56"/>
      <c r="J224" s="56"/>
    </row>
    <row r="225" spans="2:10" ht="12.75">
      <c r="B225" s="234" t="s">
        <v>122</v>
      </c>
      <c r="C225" s="244"/>
      <c r="D225" s="241">
        <f>'Rate of Return'!E8</f>
        <v>0.0952</v>
      </c>
      <c r="E225" s="56"/>
      <c r="F225" s="56"/>
      <c r="G225" s="56"/>
      <c r="H225" s="56"/>
      <c r="I225" s="56"/>
      <c r="J225" s="56"/>
    </row>
    <row r="226" spans="2:10" ht="12.75">
      <c r="B226" s="234" t="s">
        <v>123</v>
      </c>
      <c r="C226" s="244"/>
      <c r="D226" s="241">
        <f>'Rate of Return'!E9</f>
        <v>0.4</v>
      </c>
      <c r="E226" s="56"/>
      <c r="F226" s="56"/>
      <c r="G226" s="56"/>
      <c r="H226" s="56"/>
      <c r="I226" s="56"/>
      <c r="J226" s="56"/>
    </row>
    <row r="227" spans="2:10" ht="12.75">
      <c r="B227" s="234" t="s">
        <v>124</v>
      </c>
      <c r="C227" s="244"/>
      <c r="D227" s="241">
        <f>'Rate of Return'!E10</f>
        <v>0.6</v>
      </c>
      <c r="E227" s="56"/>
      <c r="F227" s="56"/>
      <c r="G227" s="56"/>
      <c r="H227" s="56"/>
      <c r="I227" s="56"/>
      <c r="J227" s="56"/>
    </row>
    <row r="228" spans="2:10" ht="12.75">
      <c r="B228" s="234" t="s">
        <v>114</v>
      </c>
      <c r="C228" s="244"/>
      <c r="D228" s="241">
        <f>'Rate of Return'!E11</f>
        <v>0.3</v>
      </c>
      <c r="E228" s="56"/>
      <c r="F228" s="56"/>
      <c r="G228" s="56"/>
      <c r="H228" s="56"/>
      <c r="I228" s="56"/>
      <c r="J228" s="56"/>
    </row>
    <row r="229" spans="2:10" ht="12.75">
      <c r="B229" s="234" t="s">
        <v>125</v>
      </c>
      <c r="C229" s="244"/>
      <c r="D229" s="235">
        <f>'Rate of Return'!E12</f>
        <v>0</v>
      </c>
      <c r="E229" s="56"/>
      <c r="F229" s="56"/>
      <c r="G229" s="56"/>
      <c r="H229" s="56"/>
      <c r="I229" s="56"/>
      <c r="J229" s="56"/>
    </row>
    <row r="230" spans="2:10" ht="13.5" thickBot="1">
      <c r="B230" s="242" t="s">
        <v>116</v>
      </c>
      <c r="C230" s="245"/>
      <c r="D230" s="243">
        <f>'Rate of Return'!E13</f>
        <v>0.0257</v>
      </c>
      <c r="E230" s="56"/>
      <c r="F230" s="56"/>
      <c r="G230" s="56"/>
      <c r="H230" s="56"/>
      <c r="I230" s="56"/>
      <c r="J230" s="56"/>
    </row>
    <row r="231" spans="2:10" ht="13.5" thickBot="1">
      <c r="B231" s="237" t="s">
        <v>10</v>
      </c>
      <c r="C231" s="238"/>
      <c r="D231" s="239"/>
      <c r="E231" s="56"/>
      <c r="F231" s="56"/>
      <c r="G231" s="56"/>
      <c r="H231" s="56"/>
      <c r="I231" s="56"/>
      <c r="J231" s="56"/>
    </row>
    <row r="232" spans="2:10" ht="12.75">
      <c r="B232" s="234" t="s">
        <v>126</v>
      </c>
      <c r="C232" s="244"/>
      <c r="D232" s="241">
        <f>'Rate of Return'!E15</f>
        <v>0.12854857142857146</v>
      </c>
      <c r="E232" s="56"/>
      <c r="G232" s="56"/>
      <c r="H232" s="56"/>
      <c r="I232" s="56"/>
      <c r="J232" s="56"/>
    </row>
    <row r="233" spans="2:10" ht="13.5" thickBot="1">
      <c r="B233" s="242" t="s">
        <v>117</v>
      </c>
      <c r="C233" s="245"/>
      <c r="D233" s="243">
        <f>'Rate of Return'!E16</f>
        <v>0.10027159152634435</v>
      </c>
      <c r="E233" s="56"/>
      <c r="G233" s="56"/>
      <c r="H233" s="56"/>
      <c r="I233" s="56"/>
      <c r="J233" s="56"/>
    </row>
    <row r="234" spans="2:10" ht="12.75">
      <c r="B234" s="1"/>
      <c r="C234" s="56"/>
      <c r="D234" s="56"/>
      <c r="E234" s="56"/>
      <c r="F234" s="56"/>
      <c r="G234" s="56"/>
      <c r="H234" s="56"/>
      <c r="I234" s="56"/>
      <c r="J234" s="56"/>
    </row>
    <row r="235" spans="2:10" ht="12.75">
      <c r="B235" s="1"/>
      <c r="C235" s="56"/>
      <c r="D235" s="56"/>
      <c r="E235" s="56"/>
      <c r="F235" s="56"/>
      <c r="G235" s="56"/>
      <c r="H235" s="56"/>
      <c r="I235" s="56"/>
      <c r="J235" s="56"/>
    </row>
    <row r="236" spans="2:10" ht="12.75">
      <c r="B236" s="1" t="s">
        <v>249</v>
      </c>
      <c r="C236" s="56"/>
      <c r="D236" s="56"/>
      <c r="E236" s="56"/>
      <c r="F236" s="56"/>
      <c r="G236" s="56"/>
      <c r="H236" s="56"/>
      <c r="I236" s="56"/>
      <c r="J236" s="56"/>
    </row>
    <row r="237" spans="2:10" ht="13.5" thickBot="1">
      <c r="B237" s="1"/>
      <c r="C237" s="56"/>
      <c r="D237" s="56"/>
      <c r="E237" s="56"/>
      <c r="F237" s="56"/>
      <c r="G237" s="56"/>
      <c r="H237" s="56"/>
      <c r="I237" s="56"/>
      <c r="J237" s="56"/>
    </row>
    <row r="238" spans="2:10" ht="13.5" thickBot="1">
      <c r="B238" s="168" t="str">
        <f>'Incentive Mechanism'!B3</f>
        <v>Year</v>
      </c>
      <c r="C238" s="169">
        <f>'Incentive Mechanism'!C3</f>
        <v>2005</v>
      </c>
      <c r="D238" s="169">
        <f>'Incentive Mechanism'!D3</f>
        <v>2006</v>
      </c>
      <c r="E238" s="169">
        <f>'Incentive Mechanism'!E3</f>
        <v>2007</v>
      </c>
      <c r="F238" s="169">
        <f>'Incentive Mechanism'!F3</f>
        <v>2008</v>
      </c>
      <c r="G238" s="169">
        <f>'Incentive Mechanism'!G3</f>
        <v>2009</v>
      </c>
      <c r="H238" s="56"/>
      <c r="I238" s="56"/>
      <c r="J238" s="56"/>
    </row>
    <row r="239" spans="2:10" ht="12.75">
      <c r="B239" s="1" t="str">
        <f>'Incentive Mechanism'!B5</f>
        <v>Forecasted OPEX (in Nominal $s)</v>
      </c>
      <c r="C239" s="289">
        <f>'Incentive Mechanism'!C5</f>
        <v>41.7276000471476</v>
      </c>
      <c r="D239" s="289">
        <f>'Incentive Mechanism'!D5</f>
        <v>41.120946663804794</v>
      </c>
      <c r="E239" s="289">
        <f>'Incentive Mechanism'!E5</f>
        <v>55.57757681587974</v>
      </c>
      <c r="F239" s="289">
        <f>'Incentive Mechanism'!F5</f>
        <v>54.87374714772022</v>
      </c>
      <c r="G239" s="289">
        <f>'Incentive Mechanism'!G5</f>
        <v>53.18110047033489</v>
      </c>
      <c r="H239" s="56"/>
      <c r="I239" s="56"/>
      <c r="J239" s="56"/>
    </row>
    <row r="240" spans="2:10" ht="12.75">
      <c r="B240" s="1" t="str">
        <f>'Incentive Mechanism'!B7</f>
        <v>Actual OPEX (in Nominal $s)</v>
      </c>
      <c r="C240" s="289">
        <f>'Incentive Mechanism'!C7</f>
        <v>37.331</v>
      </c>
      <c r="D240" s="289">
        <f>'Incentive Mechanism'!D7</f>
        <v>39.5287567</v>
      </c>
      <c r="E240" s="289">
        <f>'Incentive Mechanism'!E7</f>
        <v>42.68882763</v>
      </c>
      <c r="F240" s="289">
        <f>'Incentive Mechanism'!F7</f>
        <v>55.881302829999996</v>
      </c>
      <c r="G240" s="289">
        <f>'Incentive Mechanism'!G7</f>
        <v>77.77945854999999</v>
      </c>
      <c r="H240" s="56"/>
      <c r="I240" s="56"/>
      <c r="J240" s="56"/>
    </row>
    <row r="241" spans="2:10" ht="12.75">
      <c r="B241" s="1" t="s">
        <v>246</v>
      </c>
      <c r="C241" s="289">
        <f>'Incentive Mechanism'!C11</f>
        <v>4.396600047147594</v>
      </c>
      <c r="D241" s="289">
        <f>'Incentive Mechanism'!D11</f>
        <v>1.5921899638047918</v>
      </c>
      <c r="E241" s="289">
        <f>'Incentive Mechanism'!E11</f>
        <v>12.888749185879739</v>
      </c>
      <c r="F241" s="289">
        <f>'Incentive Mechanism'!F11</f>
        <v>0</v>
      </c>
      <c r="G241" s="289">
        <f>'Incentive Mechanism'!G11</f>
        <v>0</v>
      </c>
      <c r="H241" s="56"/>
      <c r="I241" s="56"/>
      <c r="J241" s="56"/>
    </row>
    <row r="242" spans="2:10" ht="13.5" thickBot="1">
      <c r="B242" s="1"/>
      <c r="C242" s="56"/>
      <c r="D242" s="56"/>
      <c r="E242" s="56"/>
      <c r="F242" s="56"/>
      <c r="G242" s="56"/>
      <c r="H242" s="56"/>
      <c r="I242" s="56"/>
      <c r="J242" s="56"/>
    </row>
    <row r="243" spans="2:10" ht="13.5" thickBot="1">
      <c r="B243" s="168" t="str">
        <f>'Incentive Mechanism'!B16</f>
        <v>Year</v>
      </c>
      <c r="C243" s="169">
        <f>'Incentive Mechanism'!C16</f>
        <v>2011</v>
      </c>
      <c r="D243" s="169">
        <f>'Incentive Mechanism'!D16</f>
        <v>2012</v>
      </c>
      <c r="E243" s="169">
        <f>'Incentive Mechanism'!E16</f>
        <v>2013</v>
      </c>
      <c r="F243" s="169">
        <f>'Incentive Mechanism'!F16</f>
        <v>2014</v>
      </c>
      <c r="G243" s="169">
        <f>'Incentive Mechanism'!G16</f>
        <v>2015</v>
      </c>
      <c r="H243" s="56"/>
      <c r="I243" s="56"/>
      <c r="J243" s="56"/>
    </row>
    <row r="244" spans="2:10" ht="12.75">
      <c r="B244" s="1" t="s">
        <v>247</v>
      </c>
      <c r="C244" s="289">
        <f>'Incentive Mechanism'!C17</f>
        <v>12.85351819197651</v>
      </c>
      <c r="D244" s="289">
        <f>'Incentive Mechanism'!D17</f>
        <v>12.85351819197651</v>
      </c>
      <c r="E244" s="289">
        <f>'Incentive Mechanism'!E17</f>
        <v>0</v>
      </c>
      <c r="F244" s="289">
        <f>'Incentive Mechanism'!F17</f>
        <v>0</v>
      </c>
      <c r="G244" s="289">
        <f>'Incentive Mechanism'!G17</f>
        <v>0</v>
      </c>
      <c r="H244" s="56"/>
      <c r="I244" s="56"/>
      <c r="J244" s="56"/>
    </row>
    <row r="245" spans="2:10" ht="12.75">
      <c r="B245" s="1" t="s">
        <v>248</v>
      </c>
      <c r="C245" s="289">
        <f>'Incentive Mechanism'!C20</f>
        <v>12.531459678245596</v>
      </c>
      <c r="D245" s="289">
        <f>'Incentive Mechanism'!D20</f>
        <v>12.217470681725258</v>
      </c>
      <c r="E245" s="289">
        <f>'Incentive Mechanism'!E20</f>
        <v>0</v>
      </c>
      <c r="F245" s="289">
        <f>'Incentive Mechanism'!F20</f>
        <v>0</v>
      </c>
      <c r="G245" s="289">
        <f>'Incentive Mechanism'!G20</f>
        <v>0</v>
      </c>
      <c r="H245" s="56"/>
      <c r="I245" s="56"/>
      <c r="J245" s="56"/>
    </row>
    <row r="246" spans="2:10" ht="12.75">
      <c r="B246" s="1"/>
      <c r="C246" s="56"/>
      <c r="D246" s="56"/>
      <c r="E246" s="56"/>
      <c r="F246" s="56"/>
      <c r="G246" s="56"/>
      <c r="H246" s="56"/>
      <c r="I246" s="56"/>
      <c r="J246" s="56"/>
    </row>
    <row r="247" spans="2:10" ht="12.75">
      <c r="B247" s="1"/>
      <c r="C247" s="56"/>
      <c r="D247" s="56"/>
      <c r="E247" s="56"/>
      <c r="F247" s="56"/>
      <c r="G247" s="56"/>
      <c r="H247" s="56"/>
      <c r="I247" s="56"/>
      <c r="J247" s="56"/>
    </row>
    <row r="248" spans="2:10" ht="12.75">
      <c r="B248" s="1" t="s">
        <v>250</v>
      </c>
      <c r="C248" s="56"/>
      <c r="D248" s="56"/>
      <c r="E248" s="56"/>
      <c r="F248" s="56"/>
      <c r="G248" s="56"/>
      <c r="H248" s="56"/>
      <c r="I248" s="56"/>
      <c r="J248" s="56"/>
    </row>
    <row r="249" spans="3:10" ht="13.5" thickBot="1">
      <c r="C249" s="56"/>
      <c r="D249" s="56"/>
      <c r="E249" s="56"/>
      <c r="F249" s="56"/>
      <c r="G249" s="56"/>
      <c r="H249" s="56"/>
      <c r="I249" s="56"/>
      <c r="J249" s="56"/>
    </row>
    <row r="250" spans="2:9" ht="13.5" thickBot="1">
      <c r="B250" s="168" t="s">
        <v>60</v>
      </c>
      <c r="C250" s="169">
        <v>2011</v>
      </c>
      <c r="D250" s="169">
        <v>2012</v>
      </c>
      <c r="E250" s="169">
        <v>2013</v>
      </c>
      <c r="F250" s="169">
        <v>2014</v>
      </c>
      <c r="G250" s="169">
        <v>2015</v>
      </c>
      <c r="H250" s="56"/>
      <c r="I250" s="56"/>
    </row>
    <row r="251" spans="2:9" ht="12.75">
      <c r="B251" s="254" t="s">
        <v>223</v>
      </c>
      <c r="C251" s="289">
        <f>Summary!G19</f>
        <v>20.395041877545353</v>
      </c>
      <c r="D251" s="289">
        <f>Summary!H19</f>
        <v>21.548056892183187</v>
      </c>
      <c r="E251" s="289">
        <f>Summary!I19</f>
        <v>21.455567284063473</v>
      </c>
      <c r="F251" s="289">
        <f>Summary!J19</f>
        <v>23.631524093481698</v>
      </c>
      <c r="G251" s="289">
        <f>Summary!K19</f>
        <v>24.06647507886458</v>
      </c>
      <c r="H251" s="56"/>
      <c r="I251" s="56"/>
    </row>
    <row r="252" spans="2:9" ht="12.75">
      <c r="B252" s="254" t="s">
        <v>177</v>
      </c>
      <c r="C252" s="289">
        <f>Summary!G15-Summary!G19</f>
        <v>512.0341258802805</v>
      </c>
      <c r="D252" s="289">
        <f>Summary!H15-Summary!H19</f>
        <v>527.5994995705026</v>
      </c>
      <c r="E252" s="289">
        <f>Summary!I15-Summary!I19</f>
        <v>512.5317611157161</v>
      </c>
      <c r="F252" s="289">
        <f>Summary!J15-Summary!J19</f>
        <v>506.56271212779603</v>
      </c>
      <c r="G252" s="289">
        <f>Summary!K15-Summary!K19</f>
        <v>499.46664448983296</v>
      </c>
      <c r="H252" s="56"/>
      <c r="I252" s="56"/>
    </row>
    <row r="253" spans="2:9" ht="12.75">
      <c r="B253" s="255" t="s">
        <v>20</v>
      </c>
      <c r="C253" s="290">
        <f>SUM(C251:C252)</f>
        <v>532.4291677578259</v>
      </c>
      <c r="D253" s="290">
        <f>SUM(D251:D252)</f>
        <v>549.1475564626859</v>
      </c>
      <c r="E253" s="290">
        <f>SUM(E251:E252)</f>
        <v>533.9873283997796</v>
      </c>
      <c r="F253" s="290">
        <f>SUM(F251:F252)</f>
        <v>530.1942362212777</v>
      </c>
      <c r="G253" s="290">
        <f>SUM(G251:G252)</f>
        <v>523.5331195686975</v>
      </c>
      <c r="H253" s="56"/>
      <c r="I253" s="56"/>
    </row>
    <row r="254" spans="2:9" ht="12.75">
      <c r="B254" s="170" t="s">
        <v>178</v>
      </c>
      <c r="C254" s="56"/>
      <c r="D254" s="56"/>
      <c r="E254" s="56"/>
      <c r="F254" s="56"/>
      <c r="G254" s="56"/>
      <c r="H254" s="56"/>
      <c r="I254" s="56"/>
    </row>
    <row r="255" spans="2:9" ht="12.75">
      <c r="B255" s="256" t="s">
        <v>179</v>
      </c>
      <c r="C255" s="289">
        <f>Summary!G35/1000000</f>
        <v>461.96443332804853</v>
      </c>
      <c r="D255" s="289">
        <f>Summary!H35/1000000</f>
        <v>425.25446195459074</v>
      </c>
      <c r="E255" s="289">
        <f>Summary!I35/1000000</f>
        <v>385.4435284739442</v>
      </c>
      <c r="F255" s="289">
        <f>Summary!J35/1000000</f>
        <v>350.31671402079945</v>
      </c>
      <c r="G255" s="289">
        <f>Summary!K35/1000000</f>
        <v>318.39112880741106</v>
      </c>
      <c r="H255" s="56"/>
      <c r="I255" s="56"/>
    </row>
    <row r="256" spans="2:9" ht="12.75">
      <c r="B256" s="256" t="s">
        <v>180</v>
      </c>
      <c r="C256" s="289">
        <f>Summary!G36/1000000</f>
        <v>19.605724549197063</v>
      </c>
      <c r="D256" s="289">
        <f>Summary!H36/1000000</f>
        <v>18.24749872654485</v>
      </c>
      <c r="E256" s="289">
        <f>Summary!I36/1000000</f>
        <v>16.55891584616758</v>
      </c>
      <c r="F256" s="289">
        <f>Summary!J36/1000000</f>
        <v>15.171707682159647</v>
      </c>
      <c r="G256" s="289">
        <f>Summary!K36/1000000</f>
        <v>13.909667389593096</v>
      </c>
      <c r="H256" s="56"/>
      <c r="I256" s="56"/>
    </row>
    <row r="257" spans="2:9" ht="13.5" thickBot="1">
      <c r="B257" s="295" t="s">
        <v>20</v>
      </c>
      <c r="C257" s="296">
        <f>SUM(C255:C256)</f>
        <v>481.5701578772456</v>
      </c>
      <c r="D257" s="296">
        <f>SUM(D255:D256)</f>
        <v>443.5019606811356</v>
      </c>
      <c r="E257" s="296">
        <f>SUM(E255:E256)</f>
        <v>402.00244432011175</v>
      </c>
      <c r="F257" s="296">
        <f>SUM(F255:F256)</f>
        <v>365.4884217029591</v>
      </c>
      <c r="G257" s="296">
        <f>SUM(G255:G256)</f>
        <v>332.30079619700416</v>
      </c>
      <c r="H257" s="56"/>
      <c r="I257" s="56"/>
    </row>
    <row r="258" spans="3:10" ht="12.75">
      <c r="C258" s="56"/>
      <c r="D258" s="56"/>
      <c r="E258" s="56"/>
      <c r="F258" s="56"/>
      <c r="G258" s="56"/>
      <c r="H258" s="56"/>
      <c r="I258" s="56"/>
      <c r="J258" s="56"/>
    </row>
    <row r="259" spans="2:10" ht="12.75">
      <c r="B259" s="1" t="s">
        <v>251</v>
      </c>
      <c r="C259" s="56"/>
      <c r="D259" s="56"/>
      <c r="E259" s="56"/>
      <c r="F259" s="56"/>
      <c r="G259" s="56"/>
      <c r="H259" s="56"/>
      <c r="I259" s="56"/>
      <c r="J259" s="56"/>
    </row>
    <row r="260" spans="2:9" ht="12.75">
      <c r="B260" s="190" t="s">
        <v>60</v>
      </c>
      <c r="C260" s="173">
        <v>2011</v>
      </c>
      <c r="D260" s="173">
        <v>2012</v>
      </c>
      <c r="E260" s="173">
        <v>2013</v>
      </c>
      <c r="F260" s="173">
        <v>2014</v>
      </c>
      <c r="G260" s="173">
        <v>2015</v>
      </c>
      <c r="H260" s="56"/>
      <c r="I260" s="56"/>
    </row>
    <row r="261" spans="2:9" ht="12.75">
      <c r="B261" s="177" t="s">
        <v>174</v>
      </c>
      <c r="C261" s="223">
        <f>Summary!G10</f>
        <v>334.0436269285926</v>
      </c>
      <c r="D261" s="223">
        <f>Summary!H10</f>
        <v>340.70076835159597</v>
      </c>
      <c r="E261" s="223">
        <f>Summary!I10</f>
        <v>332.83716329666566</v>
      </c>
      <c r="F261" s="223">
        <f>Summary!J10</f>
        <v>324.66324528362264</v>
      </c>
      <c r="G261" s="223">
        <f>Summary!K10</f>
        <v>316.4247136894513</v>
      </c>
      <c r="H261" s="56"/>
      <c r="I261" s="56"/>
    </row>
    <row r="262" spans="2:9" ht="12.75">
      <c r="B262" s="177" t="s">
        <v>175</v>
      </c>
      <c r="C262" s="223">
        <f>Summary!G11</f>
        <v>90.32790931341505</v>
      </c>
      <c r="D262" s="223">
        <f>Summary!H11</f>
        <v>94.87606016319921</v>
      </c>
      <c r="E262" s="223">
        <f>Summary!I11</f>
        <v>95.34278473462778</v>
      </c>
      <c r="F262" s="223">
        <f>Summary!J11</f>
        <v>95.6871704489135</v>
      </c>
      <c r="G262" s="223">
        <f>Summary!K11</f>
        <v>96.09088949653254</v>
      </c>
      <c r="H262" s="56"/>
      <c r="I262" s="56"/>
    </row>
    <row r="263" spans="2:9" s="10" customFormat="1" ht="12.75">
      <c r="B263" s="174" t="s">
        <v>171</v>
      </c>
      <c r="C263" s="249">
        <f>Summary!G13</f>
        <v>12.531459678245596</v>
      </c>
      <c r="D263" s="249">
        <f>Summary!H13</f>
        <v>12.217470681725258</v>
      </c>
      <c r="E263" s="249">
        <f>Summary!I13</f>
        <v>0</v>
      </c>
      <c r="F263" s="249">
        <f>Summary!J13</f>
        <v>0</v>
      </c>
      <c r="G263" s="249">
        <f>Summary!K13</f>
        <v>0</v>
      </c>
      <c r="H263" s="56"/>
      <c r="I263" s="56"/>
    </row>
    <row r="264" spans="2:9" ht="12.75">
      <c r="B264" s="177" t="s">
        <v>176</v>
      </c>
      <c r="C264" s="223">
        <f>Summary!G12</f>
        <v>95.52617183757265</v>
      </c>
      <c r="D264" s="223">
        <f>Summary!H12</f>
        <v>101.35325726616547</v>
      </c>
      <c r="E264" s="223">
        <f>Summary!I12</f>
        <v>105.80738036848616</v>
      </c>
      <c r="F264" s="223">
        <f>Summary!J12</f>
        <v>109.84382048874161</v>
      </c>
      <c r="G264" s="223">
        <f>Summary!K12</f>
        <v>111.01751638271371</v>
      </c>
      <c r="H264" s="56"/>
      <c r="I264" s="56"/>
    </row>
    <row r="265" spans="2:9" ht="12.75">
      <c r="B265" s="190" t="s">
        <v>20</v>
      </c>
      <c r="C265" s="251">
        <f>SUM(C261:C264)</f>
        <v>532.4291677578259</v>
      </c>
      <c r="D265" s="251">
        <f>SUM(D261:D264)</f>
        <v>549.1475564626859</v>
      </c>
      <c r="E265" s="251">
        <f>SUM(E261:E264)</f>
        <v>533.9873283997796</v>
      </c>
      <c r="F265" s="251">
        <f>SUM(F261:F264)</f>
        <v>530.1942362212777</v>
      </c>
      <c r="G265" s="251">
        <f>SUM(G261:G264)</f>
        <v>523.5331195686975</v>
      </c>
      <c r="H265" s="56"/>
      <c r="I265" s="56"/>
    </row>
    <row r="266" spans="2:9" ht="12.75">
      <c r="B266" s="190" t="s">
        <v>181</v>
      </c>
      <c r="C266" s="251">
        <f>Summary!G16</f>
        <v>483.90703882412987</v>
      </c>
      <c r="D266" s="251">
        <f>Summary!H16</f>
        <v>453.6169308023688</v>
      </c>
      <c r="E266" s="251">
        <f>Summary!I16</f>
        <v>400.89556498466084</v>
      </c>
      <c r="F266" s="251">
        <f>Summary!J16</f>
        <v>361.77237654481604</v>
      </c>
      <c r="G266" s="251">
        <f>Summary!K16</f>
        <v>324.6718696224802</v>
      </c>
      <c r="H266" s="56"/>
      <c r="I266" s="56"/>
    </row>
    <row r="267" spans="3:10" ht="12.75">
      <c r="C267" s="56"/>
      <c r="D267" s="56"/>
      <c r="E267" s="56"/>
      <c r="F267" s="56"/>
      <c r="G267" s="56"/>
      <c r="H267" s="56"/>
      <c r="I267" s="56"/>
      <c r="J267" s="56"/>
    </row>
    <row r="268" spans="3:10" ht="12.75">
      <c r="C268" s="56"/>
      <c r="D268" s="56"/>
      <c r="E268" s="56"/>
      <c r="F268" s="56"/>
      <c r="G268" s="56"/>
      <c r="H268" s="56"/>
      <c r="I268" s="56"/>
      <c r="J268" s="56"/>
    </row>
    <row r="269" spans="3:10" ht="12.75">
      <c r="C269" s="56"/>
      <c r="D269" s="56"/>
      <c r="E269" s="56"/>
      <c r="F269" s="56"/>
      <c r="G269" s="56"/>
      <c r="H269" s="56"/>
      <c r="I269" s="56"/>
      <c r="J269" s="56"/>
    </row>
    <row r="270" spans="3:10" ht="12.75">
      <c r="C270" s="56"/>
      <c r="D270" s="56"/>
      <c r="E270" s="56"/>
      <c r="F270" s="56"/>
      <c r="G270" s="56"/>
      <c r="H270" s="56"/>
      <c r="I270" s="56"/>
      <c r="J270" s="56"/>
    </row>
    <row r="271" spans="3:10" ht="12.75">
      <c r="C271" s="56"/>
      <c r="D271" s="56"/>
      <c r="E271" s="56"/>
      <c r="F271" s="56"/>
      <c r="G271" s="56"/>
      <c r="H271" s="56"/>
      <c r="I271" s="56"/>
      <c r="J271" s="56"/>
    </row>
    <row r="272" spans="3:10" ht="12.75">
      <c r="C272" s="56"/>
      <c r="D272" s="56"/>
      <c r="E272" s="56"/>
      <c r="F272" s="56"/>
      <c r="G272" s="56"/>
      <c r="H272" s="56"/>
      <c r="I272" s="56"/>
      <c r="J272" s="56"/>
    </row>
    <row r="273" spans="3:10" ht="12.75">
      <c r="C273" s="56"/>
      <c r="D273" s="56"/>
      <c r="E273" s="56"/>
      <c r="F273" s="56"/>
      <c r="G273" s="56"/>
      <c r="H273" s="56"/>
      <c r="I273" s="56"/>
      <c r="J273" s="56"/>
    </row>
    <row r="274" spans="3:10" ht="12.75">
      <c r="C274" s="56"/>
      <c r="D274" s="56"/>
      <c r="E274" s="56"/>
      <c r="F274" s="56"/>
      <c r="G274" s="56"/>
      <c r="H274" s="56"/>
      <c r="I274" s="56"/>
      <c r="J274" s="56"/>
    </row>
    <row r="275" spans="3:10" ht="12.75">
      <c r="C275" s="56"/>
      <c r="D275" s="56"/>
      <c r="E275" s="56"/>
      <c r="F275" s="56"/>
      <c r="G275" s="56"/>
      <c r="H275" s="56"/>
      <c r="I275" s="56"/>
      <c r="J275" s="56"/>
    </row>
    <row r="276" spans="3:10" ht="12.75">
      <c r="C276" s="56"/>
      <c r="D276" s="56"/>
      <c r="E276" s="56"/>
      <c r="F276" s="56"/>
      <c r="G276" s="56"/>
      <c r="H276" s="56"/>
      <c r="I276" s="56"/>
      <c r="J276" s="56"/>
    </row>
    <row r="277" spans="3:10" ht="12.75">
      <c r="C277" s="56"/>
      <c r="D277" s="56"/>
      <c r="E277" s="56"/>
      <c r="F277" s="56"/>
      <c r="G277" s="56"/>
      <c r="H277" s="56"/>
      <c r="I277" s="56"/>
      <c r="J277" s="56"/>
    </row>
    <row r="278" spans="3:10" ht="12.75">
      <c r="C278" s="56"/>
      <c r="D278" s="56"/>
      <c r="E278" s="56"/>
      <c r="F278" s="56"/>
      <c r="G278" s="56"/>
      <c r="H278" s="56"/>
      <c r="I278" s="56"/>
      <c r="J278" s="56"/>
    </row>
    <row r="279" spans="3:10" ht="12.75">
      <c r="C279" s="56"/>
      <c r="D279" s="56"/>
      <c r="E279" s="56"/>
      <c r="F279" s="56"/>
      <c r="G279" s="56"/>
      <c r="H279" s="56"/>
      <c r="I279" s="56"/>
      <c r="J279" s="56"/>
    </row>
    <row r="280" spans="3:10" ht="12.75">
      <c r="C280" s="56"/>
      <c r="D280" s="56"/>
      <c r="E280" s="56"/>
      <c r="F280" s="56"/>
      <c r="G280" s="56"/>
      <c r="H280" s="56"/>
      <c r="I280" s="56"/>
      <c r="J280" s="56"/>
    </row>
    <row r="281" spans="3:10" ht="12.75">
      <c r="C281" s="56"/>
      <c r="D281" s="56"/>
      <c r="E281" s="56"/>
      <c r="F281" s="56"/>
      <c r="G281" s="56"/>
      <c r="H281" s="56"/>
      <c r="I281" s="56"/>
      <c r="J281" s="56"/>
    </row>
    <row r="282" spans="3:10" ht="12.75">
      <c r="C282" s="56"/>
      <c r="D282" s="56"/>
      <c r="E282" s="56"/>
      <c r="F282" s="56"/>
      <c r="G282" s="56"/>
      <c r="H282" s="56"/>
      <c r="I282" s="56"/>
      <c r="J282" s="56"/>
    </row>
    <row r="283" spans="3:10" ht="12.75">
      <c r="C283" s="56"/>
      <c r="D283" s="56"/>
      <c r="E283" s="56"/>
      <c r="F283" s="56"/>
      <c r="G283" s="56"/>
      <c r="H283" s="56"/>
      <c r="I283" s="56"/>
      <c r="J283" s="56"/>
    </row>
    <row r="284" spans="3:10" ht="12.75">
      <c r="C284" s="56"/>
      <c r="D284" s="56"/>
      <c r="E284" s="56"/>
      <c r="F284" s="56"/>
      <c r="G284" s="56"/>
      <c r="H284" s="56"/>
      <c r="I284" s="56"/>
      <c r="J284" s="56"/>
    </row>
    <row r="285" spans="3:10" ht="12.75">
      <c r="C285" s="56"/>
      <c r="D285" s="56"/>
      <c r="E285" s="56"/>
      <c r="F285" s="56"/>
      <c r="G285" s="56"/>
      <c r="H285" s="56"/>
      <c r="I285" s="56"/>
      <c r="J285" s="56"/>
    </row>
    <row r="286" spans="3:10" ht="12.75">
      <c r="C286" s="56"/>
      <c r="D286" s="56"/>
      <c r="E286" s="56"/>
      <c r="F286" s="56"/>
      <c r="G286" s="56"/>
      <c r="H286" s="56"/>
      <c r="I286" s="56"/>
      <c r="J286" s="56"/>
    </row>
    <row r="287" spans="3:10" ht="12.75">
      <c r="C287" s="56"/>
      <c r="D287" s="56"/>
      <c r="E287" s="56"/>
      <c r="F287" s="56"/>
      <c r="G287" s="56"/>
      <c r="H287" s="56"/>
      <c r="I287" s="56"/>
      <c r="J287" s="56"/>
    </row>
    <row r="288" spans="3:10" ht="12.75">
      <c r="C288" s="56"/>
      <c r="D288" s="56"/>
      <c r="E288" s="56"/>
      <c r="F288" s="56"/>
      <c r="G288" s="56"/>
      <c r="H288" s="56"/>
      <c r="I288" s="56"/>
      <c r="J288" s="56"/>
    </row>
    <row r="289" spans="3:10" ht="12.75">
      <c r="C289" s="56"/>
      <c r="D289" s="56"/>
      <c r="E289" s="56"/>
      <c r="F289" s="56"/>
      <c r="G289" s="56"/>
      <c r="H289" s="56"/>
      <c r="I289" s="56"/>
      <c r="J289" s="56"/>
    </row>
    <row r="290" spans="3:10" ht="12.75">
      <c r="C290" s="56"/>
      <c r="D290" s="56"/>
      <c r="E290" s="56"/>
      <c r="F290" s="56"/>
      <c r="G290" s="56"/>
      <c r="H290" s="56"/>
      <c r="I290" s="56"/>
      <c r="J290" s="56"/>
    </row>
    <row r="291" spans="3:10" ht="12.75">
      <c r="C291" s="56"/>
      <c r="D291" s="56"/>
      <c r="E291" s="56"/>
      <c r="F291" s="56"/>
      <c r="G291" s="56"/>
      <c r="H291" s="56"/>
      <c r="I291" s="56"/>
      <c r="J291" s="56"/>
    </row>
    <row r="292" spans="3:10" ht="12.75">
      <c r="C292" s="56"/>
      <c r="D292" s="56"/>
      <c r="E292" s="56"/>
      <c r="F292" s="56"/>
      <c r="G292" s="56"/>
      <c r="H292" s="56"/>
      <c r="I292" s="56"/>
      <c r="J292" s="56"/>
    </row>
    <row r="293" spans="3:10" ht="12.75">
      <c r="C293" s="56"/>
      <c r="D293" s="56"/>
      <c r="E293" s="56"/>
      <c r="F293" s="56"/>
      <c r="G293" s="56"/>
      <c r="H293" s="56"/>
      <c r="I293" s="56"/>
      <c r="J293" s="56"/>
    </row>
    <row r="294" spans="3:10" ht="12.75">
      <c r="C294" s="56"/>
      <c r="D294" s="56"/>
      <c r="E294" s="56"/>
      <c r="F294" s="56"/>
      <c r="G294" s="56"/>
      <c r="H294" s="56"/>
      <c r="I294" s="56"/>
      <c r="J294" s="56"/>
    </row>
    <row r="295" spans="3:10" ht="12.75">
      <c r="C295" s="56"/>
      <c r="D295" s="56"/>
      <c r="E295" s="56"/>
      <c r="F295" s="56"/>
      <c r="G295" s="56"/>
      <c r="H295" s="56"/>
      <c r="I295" s="56"/>
      <c r="J295" s="56"/>
    </row>
    <row r="296" spans="3:10" ht="12.75">
      <c r="C296" s="56"/>
      <c r="D296" s="56"/>
      <c r="E296" s="56"/>
      <c r="F296" s="56"/>
      <c r="G296" s="56"/>
      <c r="H296" s="56"/>
      <c r="I296" s="56"/>
      <c r="J296" s="56"/>
    </row>
    <row r="297" spans="3:10" ht="12.75">
      <c r="C297" s="56"/>
      <c r="D297" s="56"/>
      <c r="E297" s="56"/>
      <c r="F297" s="56"/>
      <c r="G297" s="56"/>
      <c r="H297" s="56"/>
      <c r="I297" s="56"/>
      <c r="J297" s="56"/>
    </row>
    <row r="298" spans="3:10" ht="12.75">
      <c r="C298" s="56"/>
      <c r="D298" s="56"/>
      <c r="E298" s="56"/>
      <c r="F298" s="56"/>
      <c r="G298" s="56"/>
      <c r="H298" s="56"/>
      <c r="I298" s="56"/>
      <c r="J298" s="56"/>
    </row>
    <row r="299" spans="3:10" ht="12.75">
      <c r="C299" s="56"/>
      <c r="D299" s="56"/>
      <c r="E299" s="56"/>
      <c r="F299" s="56"/>
      <c r="G299" s="56"/>
      <c r="H299" s="56"/>
      <c r="I299" s="56"/>
      <c r="J299" s="56"/>
    </row>
    <row r="300" spans="3:10" ht="12.75">
      <c r="C300" s="56"/>
      <c r="D300" s="56"/>
      <c r="E300" s="56"/>
      <c r="F300" s="56"/>
      <c r="G300" s="56"/>
      <c r="H300" s="56"/>
      <c r="I300" s="56"/>
      <c r="J300" s="56"/>
    </row>
    <row r="301" spans="3:10" ht="12.75">
      <c r="C301" s="56"/>
      <c r="D301" s="56"/>
      <c r="E301" s="56"/>
      <c r="F301" s="56"/>
      <c r="G301" s="56"/>
      <c r="H301" s="56"/>
      <c r="I301" s="56"/>
      <c r="J301" s="56"/>
    </row>
    <row r="302" spans="3:10" ht="12.75">
      <c r="C302" s="56"/>
      <c r="D302" s="56"/>
      <c r="E302" s="56"/>
      <c r="F302" s="56"/>
      <c r="G302" s="56"/>
      <c r="H302" s="56"/>
      <c r="I302" s="56"/>
      <c r="J302" s="56"/>
    </row>
    <row r="303" spans="3:10" ht="12.75">
      <c r="C303" s="56"/>
      <c r="D303" s="56"/>
      <c r="E303" s="56"/>
      <c r="F303" s="56"/>
      <c r="G303" s="56"/>
      <c r="H303" s="56"/>
      <c r="I303" s="56"/>
      <c r="J303" s="56"/>
    </row>
    <row r="304" spans="3:10" ht="12.75">
      <c r="C304" s="56"/>
      <c r="D304" s="56"/>
      <c r="E304" s="56"/>
      <c r="F304" s="56"/>
      <c r="G304" s="56"/>
      <c r="H304" s="56"/>
      <c r="I304" s="56"/>
      <c r="J304" s="56"/>
    </row>
    <row r="305" spans="3:10" ht="12.75">
      <c r="C305" s="56"/>
      <c r="D305" s="56"/>
      <c r="E305" s="56"/>
      <c r="F305" s="56"/>
      <c r="G305" s="56"/>
      <c r="H305" s="56"/>
      <c r="I305" s="56"/>
      <c r="J305" s="56"/>
    </row>
    <row r="306" spans="3:10" ht="12.75">
      <c r="C306" s="56"/>
      <c r="D306" s="56"/>
      <c r="E306" s="56"/>
      <c r="F306" s="56"/>
      <c r="G306" s="56"/>
      <c r="H306" s="56"/>
      <c r="I306" s="56"/>
      <c r="J306" s="56"/>
    </row>
    <row r="307" spans="3:10" ht="12.75">
      <c r="C307" s="56"/>
      <c r="D307" s="56"/>
      <c r="E307" s="56"/>
      <c r="F307" s="56"/>
      <c r="G307" s="56"/>
      <c r="H307" s="56"/>
      <c r="I307" s="56"/>
      <c r="J307" s="56"/>
    </row>
    <row r="308" spans="3:10" ht="12.75">
      <c r="C308" s="56"/>
      <c r="D308" s="56"/>
      <c r="E308" s="56"/>
      <c r="F308" s="56"/>
      <c r="G308" s="56"/>
      <c r="H308" s="56"/>
      <c r="I308" s="56"/>
      <c r="J308" s="56"/>
    </row>
    <row r="309" spans="3:10" ht="12.75">
      <c r="C309" s="56"/>
      <c r="D309" s="56"/>
      <c r="E309" s="56"/>
      <c r="F309" s="56"/>
      <c r="G309" s="56"/>
      <c r="H309" s="56"/>
      <c r="I309" s="56"/>
      <c r="J309" s="56"/>
    </row>
    <row r="310" spans="3:10" ht="12.75">
      <c r="C310" s="56"/>
      <c r="D310" s="56"/>
      <c r="E310" s="56"/>
      <c r="F310" s="56"/>
      <c r="G310" s="56"/>
      <c r="H310" s="56"/>
      <c r="I310" s="56"/>
      <c r="J310" s="56"/>
    </row>
    <row r="311" spans="3:10" ht="12.75">
      <c r="C311" s="56"/>
      <c r="D311" s="56"/>
      <c r="E311" s="56"/>
      <c r="F311" s="56"/>
      <c r="G311" s="56"/>
      <c r="H311" s="56"/>
      <c r="I311" s="56"/>
      <c r="J311" s="56"/>
    </row>
    <row r="312" spans="3:10" ht="12.75">
      <c r="C312" s="56"/>
      <c r="D312" s="56"/>
      <c r="E312" s="56"/>
      <c r="F312" s="56"/>
      <c r="G312" s="56"/>
      <c r="H312" s="56"/>
      <c r="I312" s="56"/>
      <c r="J312" s="56"/>
    </row>
    <row r="313" spans="3:10" ht="12.75">
      <c r="C313" s="56"/>
      <c r="D313" s="56"/>
      <c r="E313" s="56"/>
      <c r="F313" s="56"/>
      <c r="G313" s="56"/>
      <c r="H313" s="56"/>
      <c r="I313" s="56"/>
      <c r="J313" s="56"/>
    </row>
    <row r="314" spans="3:10" ht="12.75">
      <c r="C314" s="56"/>
      <c r="D314" s="56"/>
      <c r="E314" s="56"/>
      <c r="F314" s="56"/>
      <c r="G314" s="56"/>
      <c r="H314" s="56"/>
      <c r="I314" s="56"/>
      <c r="J314" s="56"/>
    </row>
    <row r="315" spans="3:10" ht="12.75">
      <c r="C315" s="56"/>
      <c r="D315" s="56"/>
      <c r="E315" s="56"/>
      <c r="F315" s="56"/>
      <c r="G315" s="56"/>
      <c r="H315" s="56"/>
      <c r="I315" s="56"/>
      <c r="J315" s="56"/>
    </row>
    <row r="316" spans="3:10" ht="12.75">
      <c r="C316" s="56"/>
      <c r="D316" s="56"/>
      <c r="E316" s="56"/>
      <c r="F316" s="56"/>
      <c r="G316" s="56"/>
      <c r="H316" s="56"/>
      <c r="I316" s="56"/>
      <c r="J316" s="56"/>
    </row>
    <row r="317" spans="3:10" ht="12.75">
      <c r="C317" s="56"/>
      <c r="D317" s="56"/>
      <c r="E317" s="56"/>
      <c r="F317" s="56"/>
      <c r="G317" s="56"/>
      <c r="H317" s="56"/>
      <c r="I317" s="56"/>
      <c r="J317" s="56"/>
    </row>
    <row r="318" spans="3:10" ht="12.75">
      <c r="C318" s="56"/>
      <c r="D318" s="56"/>
      <c r="E318" s="56"/>
      <c r="F318" s="56"/>
      <c r="G318" s="56"/>
      <c r="H318" s="56"/>
      <c r="I318" s="56"/>
      <c r="J318" s="56"/>
    </row>
    <row r="319" spans="3:10" ht="12.75">
      <c r="C319" s="56"/>
      <c r="D319" s="56"/>
      <c r="E319" s="56"/>
      <c r="F319" s="56"/>
      <c r="G319" s="56"/>
      <c r="H319" s="56"/>
      <c r="I319" s="56"/>
      <c r="J319" s="56"/>
    </row>
    <row r="320" spans="3:10" ht="12.75">
      <c r="C320" s="56"/>
      <c r="D320" s="56"/>
      <c r="E320" s="56"/>
      <c r="F320" s="56"/>
      <c r="G320" s="56"/>
      <c r="H320" s="56"/>
      <c r="I320" s="56"/>
      <c r="J320" s="56"/>
    </row>
    <row r="321" spans="3:10" ht="12.75">
      <c r="C321" s="56"/>
      <c r="D321" s="56"/>
      <c r="E321" s="56"/>
      <c r="F321" s="56"/>
      <c r="G321" s="56"/>
      <c r="H321" s="56"/>
      <c r="I321" s="56"/>
      <c r="J321" s="56"/>
    </row>
    <row r="322" spans="3:10" ht="12.75">
      <c r="C322" s="56"/>
      <c r="D322" s="56"/>
      <c r="E322" s="56"/>
      <c r="F322" s="56"/>
      <c r="G322" s="56"/>
      <c r="H322" s="56"/>
      <c r="I322" s="56"/>
      <c r="J322" s="56"/>
    </row>
    <row r="323" spans="3:10" ht="12.75">
      <c r="C323" s="56"/>
      <c r="D323" s="56"/>
      <c r="E323" s="56"/>
      <c r="F323" s="56"/>
      <c r="G323" s="56"/>
      <c r="H323" s="56"/>
      <c r="I323" s="56"/>
      <c r="J323" s="56"/>
    </row>
    <row r="324" spans="3:10" ht="12.75">
      <c r="C324" s="56"/>
      <c r="D324" s="56"/>
      <c r="E324" s="56"/>
      <c r="F324" s="56"/>
      <c r="G324" s="56"/>
      <c r="H324" s="56"/>
      <c r="I324" s="56"/>
      <c r="J324" s="56"/>
    </row>
    <row r="325" spans="3:10" ht="12.75">
      <c r="C325" s="56"/>
      <c r="D325" s="56"/>
      <c r="E325" s="56"/>
      <c r="F325" s="56"/>
      <c r="G325" s="56"/>
      <c r="H325" s="56"/>
      <c r="I325" s="56"/>
      <c r="J325" s="56"/>
    </row>
    <row r="326" spans="3:10" ht="12.75">
      <c r="C326" s="56"/>
      <c r="D326" s="56"/>
      <c r="E326" s="56"/>
      <c r="F326" s="56"/>
      <c r="G326" s="56"/>
      <c r="H326" s="56"/>
      <c r="I326" s="56"/>
      <c r="J326" s="56"/>
    </row>
    <row r="327" spans="3:10" ht="12.75">
      <c r="C327" s="56"/>
      <c r="D327" s="56"/>
      <c r="E327" s="56"/>
      <c r="F327" s="56"/>
      <c r="G327" s="56"/>
      <c r="H327" s="56"/>
      <c r="I327" s="56"/>
      <c r="J327" s="56"/>
    </row>
    <row r="328" spans="3:10" ht="12.75">
      <c r="C328" s="56"/>
      <c r="D328" s="56"/>
      <c r="E328" s="56"/>
      <c r="F328" s="56"/>
      <c r="G328" s="56"/>
      <c r="H328" s="56"/>
      <c r="I328" s="56"/>
      <c r="J328" s="56"/>
    </row>
    <row r="329" spans="3:10" ht="12.75">
      <c r="C329" s="56"/>
      <c r="D329" s="56"/>
      <c r="E329" s="56"/>
      <c r="F329" s="56"/>
      <c r="G329" s="56"/>
      <c r="H329" s="56"/>
      <c r="I329" s="56"/>
      <c r="J329" s="56"/>
    </row>
    <row r="330" spans="3:10" ht="12.75">
      <c r="C330" s="56"/>
      <c r="D330" s="56"/>
      <c r="E330" s="56"/>
      <c r="F330" s="56"/>
      <c r="G330" s="56"/>
      <c r="H330" s="56"/>
      <c r="I330" s="56"/>
      <c r="J330" s="56"/>
    </row>
    <row r="331" spans="3:10" ht="12.75">
      <c r="C331" s="56"/>
      <c r="D331" s="56"/>
      <c r="E331" s="56"/>
      <c r="F331" s="56"/>
      <c r="G331" s="56"/>
      <c r="H331" s="56"/>
      <c r="I331" s="56"/>
      <c r="J331" s="56"/>
    </row>
    <row r="332" spans="3:10" ht="12.75">
      <c r="C332" s="56"/>
      <c r="D332" s="56"/>
      <c r="E332" s="56"/>
      <c r="F332" s="56"/>
      <c r="G332" s="56"/>
      <c r="H332" s="56"/>
      <c r="I332" s="56"/>
      <c r="J332" s="56"/>
    </row>
    <row r="333" spans="3:10" ht="12.75">
      <c r="C333" s="56"/>
      <c r="D333" s="56"/>
      <c r="E333" s="56"/>
      <c r="F333" s="56"/>
      <c r="G333" s="56"/>
      <c r="H333" s="56"/>
      <c r="I333" s="56"/>
      <c r="J333" s="56"/>
    </row>
    <row r="334" spans="3:10" ht="12.75">
      <c r="C334" s="56"/>
      <c r="D334" s="56"/>
      <c r="E334" s="56"/>
      <c r="F334" s="56"/>
      <c r="G334" s="56"/>
      <c r="H334" s="56"/>
      <c r="I334" s="56"/>
      <c r="J334" s="56"/>
    </row>
    <row r="335" spans="3:10" ht="12.75">
      <c r="C335" s="56"/>
      <c r="D335" s="56"/>
      <c r="E335" s="56"/>
      <c r="F335" s="56"/>
      <c r="G335" s="56"/>
      <c r="H335" s="56"/>
      <c r="I335" s="56"/>
      <c r="J335" s="56"/>
    </row>
    <row r="336" spans="3:10" ht="12.75">
      <c r="C336" s="56"/>
      <c r="D336" s="56"/>
      <c r="E336" s="56"/>
      <c r="F336" s="56"/>
      <c r="G336" s="56"/>
      <c r="H336" s="56"/>
      <c r="I336" s="56"/>
      <c r="J336" s="56"/>
    </row>
    <row r="337" spans="3:10" ht="12.75">
      <c r="C337" s="56"/>
      <c r="D337" s="56"/>
      <c r="E337" s="56"/>
      <c r="F337" s="56"/>
      <c r="G337" s="56"/>
      <c r="H337" s="56"/>
      <c r="I337" s="56"/>
      <c r="J337" s="56"/>
    </row>
    <row r="338" spans="3:10" ht="12.75">
      <c r="C338" s="56"/>
      <c r="D338" s="56"/>
      <c r="E338" s="56"/>
      <c r="F338" s="56"/>
      <c r="G338" s="56"/>
      <c r="H338" s="56"/>
      <c r="I338" s="56"/>
      <c r="J338" s="56"/>
    </row>
    <row r="339" spans="3:10" ht="12.75">
      <c r="C339" s="56"/>
      <c r="D339" s="56"/>
      <c r="E339" s="56"/>
      <c r="F339" s="56"/>
      <c r="G339" s="56"/>
      <c r="H339" s="56"/>
      <c r="I339" s="56"/>
      <c r="J339" s="56"/>
    </row>
    <row r="340" spans="3:10" ht="12.75">
      <c r="C340" s="56"/>
      <c r="D340" s="56"/>
      <c r="E340" s="56"/>
      <c r="F340" s="56"/>
      <c r="G340" s="56"/>
      <c r="H340" s="56"/>
      <c r="I340" s="56"/>
      <c r="J340" s="56"/>
    </row>
    <row r="341" spans="3:10" ht="12.75">
      <c r="C341" s="56"/>
      <c r="D341" s="56"/>
      <c r="E341" s="56"/>
      <c r="F341" s="56"/>
      <c r="G341" s="56"/>
      <c r="H341" s="56"/>
      <c r="I341" s="56"/>
      <c r="J341" s="56"/>
    </row>
    <row r="342" spans="3:10" ht="12.75">
      <c r="C342" s="56"/>
      <c r="D342" s="56"/>
      <c r="E342" s="56"/>
      <c r="F342" s="56"/>
      <c r="G342" s="56"/>
      <c r="H342" s="56"/>
      <c r="I342" s="56"/>
      <c r="J342" s="56"/>
    </row>
    <row r="343" spans="3:10" ht="12.75">
      <c r="C343" s="56"/>
      <c r="D343" s="56"/>
      <c r="E343" s="56"/>
      <c r="F343" s="56"/>
      <c r="G343" s="56"/>
      <c r="H343" s="56"/>
      <c r="I343" s="56"/>
      <c r="J343" s="56"/>
    </row>
    <row r="344" spans="3:10" ht="12.75">
      <c r="C344" s="56"/>
      <c r="D344" s="56"/>
      <c r="E344" s="56"/>
      <c r="F344" s="56"/>
      <c r="G344" s="56"/>
      <c r="H344" s="56"/>
      <c r="I344" s="56"/>
      <c r="J344" s="56"/>
    </row>
    <row r="345" spans="3:10" ht="12.75">
      <c r="C345" s="56"/>
      <c r="D345" s="56"/>
      <c r="E345" s="56"/>
      <c r="F345" s="56"/>
      <c r="G345" s="56"/>
      <c r="H345" s="56"/>
      <c r="I345" s="56"/>
      <c r="J345" s="56"/>
    </row>
    <row r="346" spans="3:10" ht="12.75">
      <c r="C346" s="56"/>
      <c r="D346" s="56"/>
      <c r="E346" s="56"/>
      <c r="F346" s="56"/>
      <c r="G346" s="56"/>
      <c r="H346" s="56"/>
      <c r="I346" s="56"/>
      <c r="J346" s="56"/>
    </row>
    <row r="347" spans="3:10" ht="12.75">
      <c r="C347" s="56"/>
      <c r="D347" s="56"/>
      <c r="E347" s="56"/>
      <c r="F347" s="56"/>
      <c r="G347" s="56"/>
      <c r="H347" s="56"/>
      <c r="I347" s="56"/>
      <c r="J347" s="56"/>
    </row>
    <row r="348" spans="3:10" ht="12.75">
      <c r="C348" s="56"/>
      <c r="D348" s="56"/>
      <c r="E348" s="56"/>
      <c r="F348" s="56"/>
      <c r="G348" s="56"/>
      <c r="H348" s="56"/>
      <c r="I348" s="56"/>
      <c r="J348" s="56"/>
    </row>
    <row r="349" spans="3:10" ht="12.75">
      <c r="C349" s="56"/>
      <c r="D349" s="56"/>
      <c r="E349" s="56"/>
      <c r="F349" s="56"/>
      <c r="G349" s="56"/>
      <c r="H349" s="56"/>
      <c r="I349" s="56"/>
      <c r="J349" s="56"/>
    </row>
    <row r="350" spans="3:10" ht="12.75">
      <c r="C350" s="56"/>
      <c r="D350" s="56"/>
      <c r="E350" s="56"/>
      <c r="F350" s="56"/>
      <c r="G350" s="56"/>
      <c r="H350" s="56"/>
      <c r="I350" s="56"/>
      <c r="J350" s="56"/>
    </row>
    <row r="351" spans="3:10" ht="12.75">
      <c r="C351" s="56"/>
      <c r="D351" s="56"/>
      <c r="E351" s="56"/>
      <c r="F351" s="56"/>
      <c r="G351" s="56"/>
      <c r="H351" s="56"/>
      <c r="I351" s="56"/>
      <c r="J351" s="56"/>
    </row>
    <row r="352" spans="3:10" ht="12.75">
      <c r="C352" s="56"/>
      <c r="D352" s="56"/>
      <c r="E352" s="56"/>
      <c r="F352" s="56"/>
      <c r="G352" s="56"/>
      <c r="H352" s="56"/>
      <c r="I352" s="56"/>
      <c r="J352" s="56"/>
    </row>
    <row r="353" spans="3:10" ht="12.75">
      <c r="C353" s="56"/>
      <c r="D353" s="56"/>
      <c r="E353" s="56"/>
      <c r="F353" s="56"/>
      <c r="G353" s="56"/>
      <c r="H353" s="56"/>
      <c r="I353" s="56"/>
      <c r="J353" s="56"/>
    </row>
    <row r="354" spans="3:10" ht="12.75">
      <c r="C354" s="56"/>
      <c r="D354" s="56"/>
      <c r="E354" s="56"/>
      <c r="F354" s="56"/>
      <c r="G354" s="56"/>
      <c r="H354" s="56"/>
      <c r="I354" s="56"/>
      <c r="J354" s="56"/>
    </row>
    <row r="355" spans="3:10" ht="12.75">
      <c r="C355" s="56"/>
      <c r="D355" s="56"/>
      <c r="E355" s="56"/>
      <c r="F355" s="56"/>
      <c r="G355" s="56"/>
      <c r="H355" s="56"/>
      <c r="I355" s="56"/>
      <c r="J355" s="56"/>
    </row>
    <row r="356" spans="3:10" ht="12.75">
      <c r="C356" s="56"/>
      <c r="D356" s="56"/>
      <c r="E356" s="56"/>
      <c r="F356" s="56"/>
      <c r="G356" s="56"/>
      <c r="H356" s="56"/>
      <c r="I356" s="56"/>
      <c r="J356" s="56"/>
    </row>
    <row r="357" spans="3:10" ht="12.75">
      <c r="C357" s="56"/>
      <c r="D357" s="56"/>
      <c r="E357" s="56"/>
      <c r="F357" s="56"/>
      <c r="G357" s="56"/>
      <c r="H357" s="56"/>
      <c r="I357" s="56"/>
      <c r="J357" s="56"/>
    </row>
    <row r="358" spans="3:10" ht="12.75">
      <c r="C358" s="56"/>
      <c r="D358" s="56"/>
      <c r="E358" s="56"/>
      <c r="F358" s="56"/>
      <c r="G358" s="56"/>
      <c r="H358" s="56"/>
      <c r="I358" s="56"/>
      <c r="J358" s="56"/>
    </row>
    <row r="359" spans="3:10" ht="12.75">
      <c r="C359" s="56"/>
      <c r="D359" s="56"/>
      <c r="E359" s="56"/>
      <c r="F359" s="56"/>
      <c r="G359" s="56"/>
      <c r="H359" s="56"/>
      <c r="I359" s="56"/>
      <c r="J359" s="56"/>
    </row>
    <row r="360" spans="3:10" ht="12.75">
      <c r="C360" s="56"/>
      <c r="D360" s="56"/>
      <c r="E360" s="56"/>
      <c r="F360" s="56"/>
      <c r="G360" s="56"/>
      <c r="H360" s="56"/>
      <c r="I360" s="56"/>
      <c r="J360" s="56"/>
    </row>
    <row r="361" spans="3:10" ht="12.75">
      <c r="C361" s="56"/>
      <c r="D361" s="56"/>
      <c r="E361" s="56"/>
      <c r="F361" s="56"/>
      <c r="G361" s="56"/>
      <c r="H361" s="56"/>
      <c r="I361" s="56"/>
      <c r="J361" s="56"/>
    </row>
    <row r="362" spans="3:10" ht="12.75">
      <c r="C362" s="56"/>
      <c r="D362" s="56"/>
      <c r="E362" s="56"/>
      <c r="F362" s="56"/>
      <c r="G362" s="56"/>
      <c r="H362" s="56"/>
      <c r="I362" s="56"/>
      <c r="J362" s="56"/>
    </row>
    <row r="363" spans="3:10" ht="12.75">
      <c r="C363" s="56"/>
      <c r="D363" s="56"/>
      <c r="E363" s="56"/>
      <c r="F363" s="56"/>
      <c r="G363" s="56"/>
      <c r="H363" s="56"/>
      <c r="I363" s="56"/>
      <c r="J363" s="56"/>
    </row>
    <row r="364" spans="3:10" ht="12.75">
      <c r="C364" s="56"/>
      <c r="D364" s="56"/>
      <c r="E364" s="56"/>
      <c r="F364" s="56"/>
      <c r="G364" s="56"/>
      <c r="H364" s="56"/>
      <c r="I364" s="56"/>
      <c r="J364" s="56"/>
    </row>
    <row r="365" spans="3:10" ht="12.75">
      <c r="C365" s="56"/>
      <c r="D365" s="56"/>
      <c r="E365" s="56"/>
      <c r="F365" s="56"/>
      <c r="G365" s="56"/>
      <c r="H365" s="56"/>
      <c r="I365" s="56"/>
      <c r="J365" s="56"/>
    </row>
    <row r="366" spans="3:10" ht="12.75">
      <c r="C366" s="56"/>
      <c r="D366" s="56"/>
      <c r="E366" s="56"/>
      <c r="F366" s="56"/>
      <c r="G366" s="56"/>
      <c r="H366" s="56"/>
      <c r="I366" s="56"/>
      <c r="J366" s="56"/>
    </row>
    <row r="367" spans="3:10" ht="12.75">
      <c r="C367" s="56"/>
      <c r="D367" s="56"/>
      <c r="E367" s="56"/>
      <c r="F367" s="56"/>
      <c r="G367" s="56"/>
      <c r="H367" s="56"/>
      <c r="I367" s="56"/>
      <c r="J367" s="56"/>
    </row>
    <row r="368" spans="3:10" ht="12.75">
      <c r="C368" s="56"/>
      <c r="D368" s="56"/>
      <c r="E368" s="56"/>
      <c r="F368" s="56"/>
      <c r="G368" s="56"/>
      <c r="H368" s="56"/>
      <c r="I368" s="56"/>
      <c r="J368" s="56"/>
    </row>
    <row r="369" spans="3:10" ht="12.75">
      <c r="C369" s="56"/>
      <c r="D369" s="56"/>
      <c r="E369" s="56"/>
      <c r="F369" s="56"/>
      <c r="G369" s="56"/>
      <c r="H369" s="56"/>
      <c r="I369" s="56"/>
      <c r="J369" s="56"/>
    </row>
    <row r="370" spans="3:10" ht="12.75">
      <c r="C370" s="56"/>
      <c r="D370" s="56"/>
      <c r="E370" s="56"/>
      <c r="F370" s="56"/>
      <c r="G370" s="56"/>
      <c r="H370" s="56"/>
      <c r="I370" s="56"/>
      <c r="J370" s="56"/>
    </row>
    <row r="371" spans="3:10" ht="12.75">
      <c r="C371" s="56"/>
      <c r="D371" s="56"/>
      <c r="E371" s="56"/>
      <c r="F371" s="56"/>
      <c r="G371" s="56"/>
      <c r="H371" s="56"/>
      <c r="I371" s="56"/>
      <c r="J371" s="56"/>
    </row>
    <row r="372" spans="3:10" ht="12.75">
      <c r="C372" s="56"/>
      <c r="D372" s="56"/>
      <c r="E372" s="56"/>
      <c r="F372" s="56"/>
      <c r="G372" s="56"/>
      <c r="H372" s="56"/>
      <c r="I372" s="56"/>
      <c r="J372" s="56"/>
    </row>
    <row r="373" spans="3:10" ht="12.75">
      <c r="C373" s="56"/>
      <c r="D373" s="56"/>
      <c r="E373" s="56"/>
      <c r="F373" s="56"/>
      <c r="G373" s="56"/>
      <c r="H373" s="56"/>
      <c r="I373" s="56"/>
      <c r="J373" s="56"/>
    </row>
    <row r="374" spans="3:10" ht="12.75">
      <c r="C374" s="56"/>
      <c r="D374" s="56"/>
      <c r="E374" s="56"/>
      <c r="F374" s="56"/>
      <c r="G374" s="56"/>
      <c r="H374" s="56"/>
      <c r="I374" s="56"/>
      <c r="J374" s="56"/>
    </row>
    <row r="375" spans="3:10" ht="12.75">
      <c r="C375" s="56"/>
      <c r="D375" s="56"/>
      <c r="E375" s="56"/>
      <c r="F375" s="56"/>
      <c r="G375" s="56"/>
      <c r="H375" s="56"/>
      <c r="I375" s="56"/>
      <c r="J375" s="56"/>
    </row>
    <row r="376" spans="3:10" ht="12.75">
      <c r="C376" s="56"/>
      <c r="D376" s="56"/>
      <c r="E376" s="56"/>
      <c r="F376" s="56"/>
      <c r="G376" s="56"/>
      <c r="H376" s="56"/>
      <c r="I376" s="56"/>
      <c r="J376" s="56"/>
    </row>
    <row r="377" spans="3:10" ht="12.75">
      <c r="C377" s="56"/>
      <c r="D377" s="56"/>
      <c r="E377" s="56"/>
      <c r="F377" s="56"/>
      <c r="G377" s="56"/>
      <c r="H377" s="56"/>
      <c r="I377" s="56"/>
      <c r="J377" s="56"/>
    </row>
    <row r="378" spans="3:10" ht="12.75">
      <c r="C378" s="56"/>
      <c r="D378" s="56"/>
      <c r="E378" s="56"/>
      <c r="F378" s="56"/>
      <c r="G378" s="56"/>
      <c r="H378" s="56"/>
      <c r="I378" s="56"/>
      <c r="J378" s="56"/>
    </row>
    <row r="379" spans="3:10" ht="12.75">
      <c r="C379" s="56"/>
      <c r="D379" s="56"/>
      <c r="E379" s="56"/>
      <c r="F379" s="56"/>
      <c r="G379" s="56"/>
      <c r="H379" s="56"/>
      <c r="I379" s="56"/>
      <c r="J379" s="56"/>
    </row>
    <row r="380" spans="3:10" ht="12.75">
      <c r="C380" s="56"/>
      <c r="D380" s="56"/>
      <c r="E380" s="56"/>
      <c r="F380" s="56"/>
      <c r="G380" s="56"/>
      <c r="H380" s="56"/>
      <c r="I380" s="56"/>
      <c r="J380" s="56"/>
    </row>
    <row r="381" spans="3:10" ht="12.75">
      <c r="C381" s="56"/>
      <c r="D381" s="56"/>
      <c r="E381" s="56"/>
      <c r="F381" s="56"/>
      <c r="G381" s="56"/>
      <c r="H381" s="56"/>
      <c r="I381" s="56"/>
      <c r="J381" s="56"/>
    </row>
    <row r="382" spans="3:10" ht="12.75">
      <c r="C382" s="56"/>
      <c r="D382" s="56"/>
      <c r="E382" s="56"/>
      <c r="F382" s="56"/>
      <c r="G382" s="56"/>
      <c r="H382" s="56"/>
      <c r="I382" s="56"/>
      <c r="J382" s="56"/>
    </row>
    <row r="383" spans="3:10" ht="12.75">
      <c r="C383" s="56"/>
      <c r="D383" s="56"/>
      <c r="E383" s="56"/>
      <c r="F383" s="56"/>
      <c r="G383" s="56"/>
      <c r="H383" s="56"/>
      <c r="I383" s="56"/>
      <c r="J383" s="56"/>
    </row>
    <row r="384" spans="3:10" ht="12.75">
      <c r="C384" s="56"/>
      <c r="D384" s="56"/>
      <c r="E384" s="56"/>
      <c r="F384" s="56"/>
      <c r="G384" s="56"/>
      <c r="H384" s="56"/>
      <c r="I384" s="56"/>
      <c r="J384" s="56"/>
    </row>
    <row r="385" spans="3:10" ht="12.75">
      <c r="C385" s="56"/>
      <c r="D385" s="56"/>
      <c r="E385" s="56"/>
      <c r="F385" s="56"/>
      <c r="G385" s="56"/>
      <c r="H385" s="56"/>
      <c r="I385" s="56"/>
      <c r="J385" s="56"/>
    </row>
    <row r="386" spans="3:10" ht="12.75">
      <c r="C386" s="56"/>
      <c r="D386" s="56"/>
      <c r="E386" s="56"/>
      <c r="F386" s="56"/>
      <c r="G386" s="56"/>
      <c r="H386" s="56"/>
      <c r="I386" s="56"/>
      <c r="J386" s="56"/>
    </row>
    <row r="387" spans="3:10" ht="12.75">
      <c r="C387" s="56"/>
      <c r="D387" s="56"/>
      <c r="E387" s="56"/>
      <c r="F387" s="56"/>
      <c r="G387" s="56"/>
      <c r="H387" s="56"/>
      <c r="I387" s="56"/>
      <c r="J387" s="56"/>
    </row>
    <row r="388" spans="3:10" ht="12.75">
      <c r="C388" s="56"/>
      <c r="D388" s="56"/>
      <c r="E388" s="56"/>
      <c r="F388" s="56"/>
      <c r="G388" s="56"/>
      <c r="H388" s="56"/>
      <c r="I388" s="56"/>
      <c r="J388" s="56"/>
    </row>
    <row r="389" spans="3:10" ht="12.75">
      <c r="C389" s="56"/>
      <c r="D389" s="56"/>
      <c r="E389" s="56"/>
      <c r="F389" s="56"/>
      <c r="G389" s="56"/>
      <c r="H389" s="56"/>
      <c r="I389" s="56"/>
      <c r="J389" s="56"/>
    </row>
    <row r="390" spans="3:10" ht="12.75">
      <c r="C390" s="56"/>
      <c r="D390" s="56"/>
      <c r="E390" s="56"/>
      <c r="F390" s="56"/>
      <c r="G390" s="56"/>
      <c r="H390" s="56"/>
      <c r="I390" s="56"/>
      <c r="J390" s="56"/>
    </row>
    <row r="391" spans="3:10" ht="12.75">
      <c r="C391" s="56"/>
      <c r="D391" s="56"/>
      <c r="E391" s="56"/>
      <c r="F391" s="56"/>
      <c r="G391" s="56"/>
      <c r="H391" s="56"/>
      <c r="I391" s="56"/>
      <c r="J391" s="56"/>
    </row>
  </sheetData>
  <sheetProtection/>
  <mergeCells count="8">
    <mergeCell ref="C81:E81"/>
    <mergeCell ref="C84:H84"/>
    <mergeCell ref="D137:J137"/>
    <mergeCell ref="C128:J128"/>
    <mergeCell ref="C9:J9"/>
    <mergeCell ref="C25:J25"/>
    <mergeCell ref="C57:J57"/>
    <mergeCell ref="C58:J5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75" r:id="rId1"/>
  <headerFooter alignWithMargins="0">
    <oddFooter>&amp;L&amp;A&amp;C&amp;F&amp;R&amp;P</oddFooter>
  </headerFooter>
  <rowBreaks count="6" manualBreakCount="6">
    <brk id="42" max="11" man="1"/>
    <brk id="84" max="11" man="1"/>
    <brk id="137" max="11" man="1"/>
    <brk id="187" max="11" man="1"/>
    <brk id="207" max="11" man="1"/>
    <brk id="247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36"/>
  <sheetViews>
    <sheetView showGridLines="0"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3.7109375" style="114" customWidth="1"/>
    <col min="2" max="2" width="3.7109375" style="0" customWidth="1"/>
    <col min="3" max="3" width="37.57421875" style="0" bestFit="1" customWidth="1"/>
    <col min="4" max="4" width="13.28125" style="0" bestFit="1" customWidth="1"/>
    <col min="5" max="5" width="20.140625" style="0" bestFit="1" customWidth="1"/>
    <col min="6" max="12" width="11.57421875" style="0" customWidth="1"/>
  </cols>
  <sheetData>
    <row r="1" spans="1:3" s="113" customFormat="1" ht="15">
      <c r="A1" s="111"/>
      <c r="B1" s="111"/>
      <c r="C1" s="112" t="s">
        <v>133</v>
      </c>
    </row>
    <row r="2" ht="12.75">
      <c r="A2" s="115">
        <f>ROW()</f>
        <v>2</v>
      </c>
    </row>
    <row r="3" spans="1:6" ht="12.75">
      <c r="A3" s="115">
        <f>ROW()</f>
        <v>3</v>
      </c>
      <c r="C3" t="s">
        <v>97</v>
      </c>
      <c r="E3" s="268">
        <f>'Rate of Return'!E16</f>
        <v>0.10027159152634435</v>
      </c>
      <c r="F3" s="268"/>
    </row>
    <row r="4" ht="12.75">
      <c r="A4" s="115">
        <f>ROW()</f>
        <v>4</v>
      </c>
    </row>
    <row r="5" ht="12.75">
      <c r="A5" s="115">
        <f>ROW()</f>
        <v>5</v>
      </c>
    </row>
    <row r="6" spans="1:11" ht="12.75">
      <c r="A6" s="115">
        <f>ROW()</f>
        <v>6</v>
      </c>
      <c r="C6" s="128" t="s">
        <v>24</v>
      </c>
      <c r="D6" s="128"/>
      <c r="E6" s="128">
        <v>2010</v>
      </c>
      <c r="F6" s="128"/>
      <c r="G6" s="139"/>
      <c r="H6" s="139"/>
      <c r="I6" s="139"/>
      <c r="J6" s="139"/>
      <c r="K6" s="139"/>
    </row>
    <row r="7" ht="12.75">
      <c r="A7" s="115">
        <f>ROW()</f>
        <v>7</v>
      </c>
    </row>
    <row r="8" spans="1:11" ht="12.75">
      <c r="A8" s="115">
        <f>ROW()</f>
        <v>8</v>
      </c>
      <c r="D8" s="141" t="s">
        <v>25</v>
      </c>
      <c r="E8" s="115"/>
      <c r="F8" s="115"/>
      <c r="G8" s="142">
        <f>INDEX(CPIindex,MATCH(IF(CompareYear="Nominal",G$9,CompareYear),CPIindexYRs,0))/INDEX(CPIindex,MATCH(CompareYear,CPIindexYRs,0))</f>
        <v>1</v>
      </c>
      <c r="H8" s="142">
        <f>INDEX(CPIindex,MATCH(IF(CompareYear="Nominal",H$9,CompareYear),CPIindexYRs,0))/INDEX(CPIindex,MATCH(CompareYear,CPIindexYRs,0))</f>
        <v>1</v>
      </c>
      <c r="I8" s="142">
        <f>INDEX(CPIindex,MATCH(IF(CompareYear="Nominal",I$9,CompareYear),CPIindexYRs,0))/INDEX(CPIindex,MATCH(CompareYear,CPIindexYRs,0))</f>
        <v>1</v>
      </c>
      <c r="J8" s="142">
        <f>INDEX(CPIindex,MATCH(IF(CompareYear="Nominal",J$9,CompareYear),CPIindexYRs,0))/INDEX(CPIindex,MATCH(CompareYear,CPIindexYRs,0))</f>
        <v>1</v>
      </c>
      <c r="K8" s="142">
        <f>INDEX(CPIindex,MATCH(IF(CompareYear="Nominal",K$9,CompareYear),CPIindexYRs,0))/INDEX(CPIindex,MATCH(CompareYear,CPIindexYRs,0))</f>
        <v>1</v>
      </c>
    </row>
    <row r="9" spans="1:11" ht="12.75">
      <c r="A9" s="115">
        <f>ROW()</f>
        <v>9</v>
      </c>
      <c r="C9" s="140"/>
      <c r="D9" s="140"/>
      <c r="E9" s="140"/>
      <c r="F9" s="140"/>
      <c r="G9" s="128">
        <v>2011</v>
      </c>
      <c r="H9" s="128">
        <v>2012</v>
      </c>
      <c r="I9" s="128">
        <v>2013</v>
      </c>
      <c r="J9" s="128">
        <v>2014</v>
      </c>
      <c r="K9" s="128">
        <v>2015</v>
      </c>
    </row>
    <row r="10" spans="1:11" ht="12.75">
      <c r="A10" s="115">
        <f>ROW()</f>
        <v>10</v>
      </c>
      <c r="C10" s="23" t="str">
        <f>CAPEX!B116</f>
        <v>Return on Assets in 2010 $'s</v>
      </c>
      <c r="D10" s="24"/>
      <c r="E10" s="24"/>
      <c r="F10" s="24"/>
      <c r="G10" s="36">
        <f>CAPEX!R116</f>
        <v>334.0436269285926</v>
      </c>
      <c r="H10" s="25">
        <f>CAPEX!S116</f>
        <v>340.70076835159597</v>
      </c>
      <c r="I10" s="25">
        <f>CAPEX!T116</f>
        <v>332.83716329666566</v>
      </c>
      <c r="J10" s="25">
        <f>CAPEX!U116</f>
        <v>324.66324528362264</v>
      </c>
      <c r="K10" s="26">
        <f>CAPEX!V116</f>
        <v>316.4247136894513</v>
      </c>
    </row>
    <row r="11" spans="1:11" ht="12.75">
      <c r="A11" s="115">
        <f>ROW()</f>
        <v>11</v>
      </c>
      <c r="C11" s="27" t="str">
        <f>CAPEX!B117</f>
        <v>Depreciation in 2010 $'s</v>
      </c>
      <c r="D11" s="28"/>
      <c r="E11" s="28"/>
      <c r="F11" s="28"/>
      <c r="G11" s="37">
        <f>CAPEX!R117</f>
        <v>90.32790931341505</v>
      </c>
      <c r="H11" s="29">
        <f>CAPEX!S117</f>
        <v>94.87606016319921</v>
      </c>
      <c r="I11" s="29">
        <f>CAPEX!T117</f>
        <v>95.34278473462778</v>
      </c>
      <c r="J11" s="29">
        <f>CAPEX!U117</f>
        <v>95.6871704489135</v>
      </c>
      <c r="K11" s="30">
        <f>CAPEX!V117</f>
        <v>96.09088949653254</v>
      </c>
    </row>
    <row r="12" spans="1:11" ht="12.75">
      <c r="A12" s="115">
        <f>ROW()</f>
        <v>12</v>
      </c>
      <c r="C12" s="31" t="str">
        <f>OPEX!$B$14</f>
        <v>Operating Expenditure in 2010 $'s</v>
      </c>
      <c r="D12" s="28"/>
      <c r="E12" s="28"/>
      <c r="F12" s="28"/>
      <c r="G12" s="37">
        <f>OPEX!D21</f>
        <v>95.52617183757265</v>
      </c>
      <c r="H12" s="29">
        <f>OPEX!E21</f>
        <v>101.35325726616547</v>
      </c>
      <c r="I12" s="29">
        <f>OPEX!F21</f>
        <v>105.80738036848616</v>
      </c>
      <c r="J12" s="29">
        <f>OPEX!G21</f>
        <v>109.84382048874161</v>
      </c>
      <c r="K12" s="30">
        <f>OPEX!H21</f>
        <v>111.01751638271371</v>
      </c>
    </row>
    <row r="13" spans="1:11" ht="12.75">
      <c r="A13" s="115">
        <f>ROW()</f>
        <v>13</v>
      </c>
      <c r="C13" s="224" t="s">
        <v>171</v>
      </c>
      <c r="D13" s="56"/>
      <c r="E13" s="56"/>
      <c r="F13" s="56"/>
      <c r="G13" s="265">
        <f>'Incentive Mechanism'!C20</f>
        <v>12.531459678245596</v>
      </c>
      <c r="H13" s="79">
        <f>'Incentive Mechanism'!D20</f>
        <v>12.217470681725258</v>
      </c>
      <c r="I13" s="79">
        <f>'Incentive Mechanism'!E20</f>
        <v>0</v>
      </c>
      <c r="J13" s="79">
        <f>'Incentive Mechanism'!F20</f>
        <v>0</v>
      </c>
      <c r="K13" s="266">
        <f>'Incentive Mechanism'!G20</f>
        <v>0</v>
      </c>
    </row>
    <row r="14" spans="1:11" ht="12.75" hidden="1">
      <c r="A14" s="115">
        <f>ROW()</f>
        <v>14</v>
      </c>
      <c r="C14" s="32" t="str">
        <f>"Total Revenue in "&amp;CompareYear&amp;" $'s"</f>
        <v>Total Revenue in 2010 $'s</v>
      </c>
      <c r="D14" s="33"/>
      <c r="E14" s="33"/>
      <c r="F14" s="33"/>
      <c r="G14" s="38">
        <f>SUM(G10:G13)</f>
        <v>532.4291677578259</v>
      </c>
      <c r="H14" s="34">
        <f>SUM(H10:H13)</f>
        <v>549.1475564626859</v>
      </c>
      <c r="I14" s="34">
        <f>SUM(I10:I13)</f>
        <v>533.9873283997796</v>
      </c>
      <c r="J14" s="34">
        <f>SUM(J10:J13)</f>
        <v>530.1942362212777</v>
      </c>
      <c r="K14" s="35">
        <f>SUM(K10:K13)</f>
        <v>523.5331195686975</v>
      </c>
    </row>
    <row r="15" spans="1:11" ht="12.75">
      <c r="A15" s="115">
        <f>ROW()</f>
        <v>15</v>
      </c>
      <c r="C15" s="39" t="s">
        <v>220</v>
      </c>
      <c r="D15" s="40"/>
      <c r="E15" s="40"/>
      <c r="F15" s="40"/>
      <c r="G15" s="43">
        <f>G14/G8</f>
        <v>532.4291677578259</v>
      </c>
      <c r="H15" s="41">
        <f>H14/H8</f>
        <v>549.1475564626859</v>
      </c>
      <c r="I15" s="41">
        <f>I14/I8</f>
        <v>533.9873283997796</v>
      </c>
      <c r="J15" s="41">
        <f>J14/J8</f>
        <v>530.1942362212777</v>
      </c>
      <c r="K15" s="42">
        <f>K14/K8</f>
        <v>523.5331195686975</v>
      </c>
    </row>
    <row r="16" spans="1:11" ht="12.75">
      <c r="A16" s="115">
        <f>ROW()</f>
        <v>16</v>
      </c>
      <c r="C16" s="39" t="s">
        <v>181</v>
      </c>
      <c r="D16" s="40"/>
      <c r="E16" s="40"/>
      <c r="F16" s="40"/>
      <c r="G16" s="43">
        <f>G15*G$33</f>
        <v>483.90703882412987</v>
      </c>
      <c r="H16" s="41">
        <f>H15*H$33</f>
        <v>453.6169308023688</v>
      </c>
      <c r="I16" s="41">
        <f>I15*I$33</f>
        <v>400.89556498466084</v>
      </c>
      <c r="J16" s="41">
        <f>J15*J$33</f>
        <v>361.77237654481604</v>
      </c>
      <c r="K16" s="42">
        <f>K15*K$33</f>
        <v>324.6718696224802</v>
      </c>
    </row>
    <row r="17" ht="13.5" thickBot="1">
      <c r="A17" s="115">
        <f>ROW()</f>
        <v>17</v>
      </c>
    </row>
    <row r="18" spans="1:11" ht="13.5" hidden="1" thickBot="1">
      <c r="A18" s="115">
        <f>ROW()</f>
        <v>18</v>
      </c>
      <c r="C18" s="44" t="str">
        <f>OPEX!B20&amp;" in "&amp;CompareYear&amp;" $'s"</f>
        <v>System Use Gas (full haul) in 2010 $'s</v>
      </c>
      <c r="D18" s="45"/>
      <c r="E18" s="45"/>
      <c r="F18" s="45"/>
      <c r="G18" s="51">
        <f>OPEX!D20</f>
        <v>20.395041877545353</v>
      </c>
      <c r="H18" s="46">
        <f>OPEX!E20</f>
        <v>21.548056892183187</v>
      </c>
      <c r="I18" s="46">
        <f>OPEX!F20</f>
        <v>21.455567284063473</v>
      </c>
      <c r="J18" s="46">
        <f>OPEX!G20</f>
        <v>23.631524093481698</v>
      </c>
      <c r="K18" s="47">
        <f>OPEX!H20</f>
        <v>24.06647507886458</v>
      </c>
    </row>
    <row r="19" spans="1:11" ht="13.5" thickBot="1">
      <c r="A19" s="115">
        <f>ROW()</f>
        <v>19</v>
      </c>
      <c r="C19" s="291" t="s">
        <v>225</v>
      </c>
      <c r="D19" s="137"/>
      <c r="E19" s="137"/>
      <c r="F19" s="137"/>
      <c r="G19" s="292">
        <f>G18/G8</f>
        <v>20.395041877545353</v>
      </c>
      <c r="H19" s="293">
        <f>H18/H8</f>
        <v>21.548056892183187</v>
      </c>
      <c r="I19" s="293">
        <f>I18/I8</f>
        <v>21.455567284063473</v>
      </c>
      <c r="J19" s="293">
        <f>J18/J8</f>
        <v>23.631524093481698</v>
      </c>
      <c r="K19" s="294">
        <f>K18/K8</f>
        <v>24.06647507886458</v>
      </c>
    </row>
    <row r="20" ht="12.75">
      <c r="A20" s="115">
        <f>ROW()</f>
        <v>20</v>
      </c>
    </row>
    <row r="21" ht="13.5" thickBot="1">
      <c r="A21" s="115">
        <f>ROW()</f>
        <v>21</v>
      </c>
    </row>
    <row r="22" spans="1:4" ht="12.75">
      <c r="A22" s="115">
        <f>ROW()</f>
        <v>22</v>
      </c>
      <c r="C22" s="54" t="s">
        <v>28</v>
      </c>
      <c r="D22" s="57"/>
    </row>
    <row r="23" spans="1:8" ht="12.75">
      <c r="A23" s="115">
        <f>ROW()</f>
        <v>23</v>
      </c>
      <c r="C23" s="52" t="s">
        <v>29</v>
      </c>
      <c r="D23" s="58">
        <f>NPV($E$3,$G$15:$K$15)</f>
        <v>2024.8637807784562</v>
      </c>
      <c r="E23" s="21" t="s">
        <v>34</v>
      </c>
      <c r="F23" s="21"/>
      <c r="G23" s="22">
        <f>(NPV($E$3,G29:K29)+NPV($E$3,G30:K30))/1000000</f>
        <v>2024.863780778456</v>
      </c>
      <c r="H23" s="104" t="str">
        <f>IF(ROUND((G23-D23),0)&lt;&gt;0,"RUN MACRO BUTTON","OKAY")</f>
        <v>OKAY</v>
      </c>
    </row>
    <row r="24" spans="1:4" ht="12.75">
      <c r="A24" s="115">
        <f>ROW()</f>
        <v>24</v>
      </c>
      <c r="C24" s="52" t="s">
        <v>226</v>
      </c>
      <c r="D24" s="58">
        <f>NPV($E$3,$G$19:$K$19)</f>
        <v>83.49351419366224</v>
      </c>
    </row>
    <row r="25" spans="1:4" ht="12.75">
      <c r="A25" s="115">
        <f>ROW()</f>
        <v>25</v>
      </c>
      <c r="C25" s="52" t="s">
        <v>227</v>
      </c>
      <c r="D25" s="59">
        <f>D24/D23</f>
        <v>0.04123413880293877</v>
      </c>
    </row>
    <row r="26" spans="1:4" ht="13.5" thickBot="1">
      <c r="A26" s="115">
        <f>ROW()</f>
        <v>26</v>
      </c>
      <c r="C26" s="53" t="s">
        <v>228</v>
      </c>
      <c r="D26" s="60">
        <f>D23-D24</f>
        <v>1941.370266584794</v>
      </c>
    </row>
    <row r="27" spans="1:4" ht="13.5" thickBot="1">
      <c r="A27" s="115">
        <f>ROW()</f>
        <v>27</v>
      </c>
      <c r="D27" s="16"/>
    </row>
    <row r="28" spans="1:11" ht="13.5" thickBot="1">
      <c r="A28" s="115">
        <f>ROW()</f>
        <v>28</v>
      </c>
      <c r="C28" s="54" t="str">
        <f>"Tariffs in "&amp;CompareYear&amp;" $'s"</f>
        <v>Tariffs in 2010 $'s</v>
      </c>
      <c r="D28" s="55"/>
      <c r="E28" s="21" t="s">
        <v>37</v>
      </c>
      <c r="F28" s="280" t="str">
        <f>"Revenue in "&amp;CompareYear&amp;" $'s"</f>
        <v>Revenue in 2010 $'s</v>
      </c>
      <c r="G28" s="287"/>
      <c r="H28" s="287"/>
      <c r="I28" s="287"/>
      <c r="J28" s="287"/>
      <c r="K28" s="288"/>
    </row>
    <row r="29" spans="1:12" ht="12.75">
      <c r="A29" s="115">
        <f>ROW()</f>
        <v>29</v>
      </c>
      <c r="C29" s="52" t="s">
        <v>31</v>
      </c>
      <c r="D29" s="298">
        <v>1.5583220532487376</v>
      </c>
      <c r="E29" s="269">
        <f>NPV(E3,$G$29:$K$29)-D26*1000000</f>
        <v>0</v>
      </c>
      <c r="F29" s="274" t="s">
        <v>31</v>
      </c>
      <c r="G29" s="270">
        <f>Capacity!E27</f>
        <v>508286342.2864177</v>
      </c>
      <c r="H29" s="270">
        <f>Capacity!F27</f>
        <v>514812020.4511516</v>
      </c>
      <c r="I29" s="270">
        <f>Capacity!G27</f>
        <v>513405430.2313398</v>
      </c>
      <c r="J29" s="270">
        <f>Capacity!H27</f>
        <v>513405430.2313398</v>
      </c>
      <c r="K29" s="284">
        <f>Capacity!I27</f>
        <v>513405430.2313398</v>
      </c>
      <c r="L29" s="129">
        <f>CapTariff/$D$31</f>
        <v>0.9512674849670244</v>
      </c>
    </row>
    <row r="30" spans="1:12" ht="12.75">
      <c r="A30" s="115">
        <f>ROW()</f>
        <v>30</v>
      </c>
      <c r="C30" s="52" t="s">
        <v>32</v>
      </c>
      <c r="D30" s="298">
        <v>0.0798313345996411</v>
      </c>
      <c r="E30" s="269">
        <f>NPV(E3,$G$30:$K$30)-D24*1000000</f>
        <v>0</v>
      </c>
      <c r="F30" s="274" t="s">
        <v>32</v>
      </c>
      <c r="G30" s="270">
        <f>Throughput!E27</f>
        <v>21571621.75277217</v>
      </c>
      <c r="H30" s="270">
        <f>Throughput!F27</f>
        <v>22090377.71035893</v>
      </c>
      <c r="I30" s="270">
        <f>Throughput!G27</f>
        <v>22056246.08052256</v>
      </c>
      <c r="J30" s="270">
        <f>Throughput!H27</f>
        <v>22234842.923997127</v>
      </c>
      <c r="K30" s="284">
        <f>Throughput!I27</f>
        <v>22429327.089852814</v>
      </c>
      <c r="L30" s="129">
        <f>ThroughTariff/D31</f>
        <v>0.04873251503297565</v>
      </c>
    </row>
    <row r="31" spans="1:11" ht="13.5" thickBot="1">
      <c r="A31" s="115">
        <f>ROW()</f>
        <v>31</v>
      </c>
      <c r="C31" s="53" t="s">
        <v>15</v>
      </c>
      <c r="D31" s="299">
        <f>SUM(D29:D30)</f>
        <v>1.6381533878483787</v>
      </c>
      <c r="E31" s="269">
        <f>SUM(E29:E30)</f>
        <v>0</v>
      </c>
      <c r="F31" s="277" t="s">
        <v>15</v>
      </c>
      <c r="G31" s="285">
        <f>SUM(G29:G30)</f>
        <v>529857964.0391899</v>
      </c>
      <c r="H31" s="285">
        <f>SUM(H29:H30)</f>
        <v>536902398.1615106</v>
      </c>
      <c r="I31" s="285">
        <f>SUM(I29:I30)</f>
        <v>535461676.31186235</v>
      </c>
      <c r="J31" s="285">
        <f>SUM(J29:J30)</f>
        <v>535640273.1553369</v>
      </c>
      <c r="K31" s="286">
        <f>SUM(K29:K30)</f>
        <v>535834757.3211926</v>
      </c>
    </row>
    <row r="32" spans="1:11" ht="12.75">
      <c r="A32" s="115">
        <f>ROW()</f>
        <v>32</v>
      </c>
      <c r="D32" s="121"/>
      <c r="E32" s="18"/>
      <c r="F32" s="18"/>
      <c r="G32" s="18"/>
      <c r="H32" s="18"/>
      <c r="I32" s="18"/>
      <c r="J32" s="18"/>
      <c r="K32" s="18"/>
    </row>
    <row r="33" spans="1:11" ht="13.5" thickBot="1">
      <c r="A33" s="115">
        <f>ROW()</f>
        <v>33</v>
      </c>
      <c r="E33" s="19"/>
      <c r="F33" s="271" t="s">
        <v>25</v>
      </c>
      <c r="G33" s="272">
        <f>1/(1+$E$3)</f>
        <v>0.9088665086887836</v>
      </c>
      <c r="H33" s="273">
        <f>G33/(1+$E$3)</f>
        <v>0.8260383306161387</v>
      </c>
      <c r="I33" s="273">
        <f>H33/(1+$E$3)</f>
        <v>0.7507585735902012</v>
      </c>
      <c r="J33" s="273">
        <f>I33/(1+$E$3)</f>
        <v>0.6823393236470974</v>
      </c>
      <c r="K33" s="273">
        <f>J33/(1+$E$3)</f>
        <v>0.6201553588242034</v>
      </c>
    </row>
    <row r="34" spans="1:11" ht="13.5" thickBot="1">
      <c r="A34" s="115">
        <f>ROW()</f>
        <v>34</v>
      </c>
      <c r="E34" s="19"/>
      <c r="F34" s="280" t="s">
        <v>182</v>
      </c>
      <c r="G34" s="281"/>
      <c r="H34" s="282"/>
      <c r="I34" s="282"/>
      <c r="J34" s="282"/>
      <c r="K34" s="283"/>
    </row>
    <row r="35" spans="1:11" ht="12.75">
      <c r="A35" s="115">
        <f>ROW()</f>
        <v>35</v>
      </c>
      <c r="D35" s="122"/>
      <c r="E35" s="20"/>
      <c r="F35" s="274" t="s">
        <v>31</v>
      </c>
      <c r="G35" s="275">
        <f>G29*G$33</f>
        <v>461964433.3280485</v>
      </c>
      <c r="H35" s="275">
        <f>H29*H$33</f>
        <v>425254461.95459074</v>
      </c>
      <c r="I35" s="275">
        <f>I29*I$33</f>
        <v>385443528.4739442</v>
      </c>
      <c r="J35" s="275">
        <f>J29*J$33</f>
        <v>350316714.02079946</v>
      </c>
      <c r="K35" s="276">
        <f>K29*K$33</f>
        <v>318391128.8074111</v>
      </c>
    </row>
    <row r="36" spans="1:11" ht="12.75">
      <c r="A36" s="115">
        <f>ROW()</f>
        <v>36</v>
      </c>
      <c r="D36" s="122"/>
      <c r="E36" s="20"/>
      <c r="F36" s="274" t="s">
        <v>32</v>
      </c>
      <c r="G36" s="275">
        <f aca="true" t="shared" si="0" ref="G36:K37">G30*G$33</f>
        <v>19605724.549197063</v>
      </c>
      <c r="H36" s="275">
        <f t="shared" si="0"/>
        <v>18247498.72654485</v>
      </c>
      <c r="I36" s="275">
        <f t="shared" si="0"/>
        <v>16558915.846167581</v>
      </c>
      <c r="J36" s="275">
        <f t="shared" si="0"/>
        <v>15171707.682159647</v>
      </c>
      <c r="K36" s="276">
        <f t="shared" si="0"/>
        <v>13909667.389593096</v>
      </c>
    </row>
    <row r="37" spans="1:11" ht="13.5" thickBot="1">
      <c r="A37" s="115">
        <f>ROW()</f>
        <v>37</v>
      </c>
      <c r="D37" s="122"/>
      <c r="E37" s="20"/>
      <c r="F37" s="277" t="s">
        <v>15</v>
      </c>
      <c r="G37" s="278">
        <f t="shared" si="0"/>
        <v>481570157.87724555</v>
      </c>
      <c r="H37" s="278">
        <f t="shared" si="0"/>
        <v>443501960.68113565</v>
      </c>
      <c r="I37" s="278">
        <f t="shared" si="0"/>
        <v>402002444.32011175</v>
      </c>
      <c r="J37" s="278">
        <f t="shared" si="0"/>
        <v>365488421.70295906</v>
      </c>
      <c r="K37" s="279">
        <f t="shared" si="0"/>
        <v>332300796.19700414</v>
      </c>
    </row>
    <row r="38" spans="1:6" ht="13.5" thickBot="1">
      <c r="A38" s="115">
        <f>ROW()</f>
        <v>38</v>
      </c>
      <c r="D38" s="122"/>
      <c r="E38" s="20"/>
      <c r="F38" s="20"/>
    </row>
    <row r="39" spans="1:11" ht="13.5" thickBot="1">
      <c r="A39" s="115">
        <f>ROW()</f>
        <v>39</v>
      </c>
      <c r="B39" s="10"/>
      <c r="C39" s="10"/>
      <c r="E39" s="308" t="str">
        <f>C28</f>
        <v>Tariffs in 2010 $'s</v>
      </c>
      <c r="F39" s="309"/>
      <c r="G39" s="310">
        <v>2011</v>
      </c>
      <c r="H39" s="310">
        <v>2012</v>
      </c>
      <c r="I39" s="310">
        <v>2013</v>
      </c>
      <c r="J39" s="310">
        <v>2014</v>
      </c>
      <c r="K39" s="311">
        <v>2015</v>
      </c>
    </row>
    <row r="40" spans="1:12" ht="12.75">
      <c r="A40" s="115">
        <f>ROW()</f>
        <v>40</v>
      </c>
      <c r="B40" s="10"/>
      <c r="C40" s="10"/>
      <c r="D40" s="122"/>
      <c r="E40" s="300" t="str">
        <f>C29</f>
        <v>Capacity</v>
      </c>
      <c r="F40" s="301"/>
      <c r="G40" s="302">
        <f>D29</f>
        <v>1.5583220532487376</v>
      </c>
      <c r="H40" s="303">
        <f aca="true" t="shared" si="1" ref="H40:K41">G40</f>
        <v>1.5583220532487376</v>
      </c>
      <c r="I40" s="303">
        <f t="shared" si="1"/>
        <v>1.5583220532487376</v>
      </c>
      <c r="J40" s="303">
        <f t="shared" si="1"/>
        <v>1.5583220532487376</v>
      </c>
      <c r="K40" s="304">
        <f t="shared" si="1"/>
        <v>1.5583220532487376</v>
      </c>
      <c r="L40" s="143" t="s">
        <v>56</v>
      </c>
    </row>
    <row r="41" spans="1:12" ht="12.75">
      <c r="A41" s="115">
        <f>ROW()</f>
        <v>41</v>
      </c>
      <c r="B41" s="10"/>
      <c r="C41" s="10"/>
      <c r="D41" s="122"/>
      <c r="E41" s="305" t="str">
        <f>C30</f>
        <v>Throughput</v>
      </c>
      <c r="F41" s="28"/>
      <c r="G41" s="302">
        <f>D30</f>
        <v>0.0798313345996411</v>
      </c>
      <c r="H41" s="303">
        <f t="shared" si="1"/>
        <v>0.0798313345996411</v>
      </c>
      <c r="I41" s="303">
        <f t="shared" si="1"/>
        <v>0.0798313345996411</v>
      </c>
      <c r="J41" s="303">
        <f t="shared" si="1"/>
        <v>0.0798313345996411</v>
      </c>
      <c r="K41" s="304">
        <f t="shared" si="1"/>
        <v>0.0798313345996411</v>
      </c>
      <c r="L41" s="143"/>
    </row>
    <row r="42" spans="1:12" ht="13.5" thickBot="1">
      <c r="A42" s="115">
        <f>ROW()</f>
        <v>42</v>
      </c>
      <c r="B42" s="10"/>
      <c r="C42" s="10"/>
      <c r="D42" s="122"/>
      <c r="E42" s="48" t="str">
        <f>C31</f>
        <v>Total</v>
      </c>
      <c r="F42" s="49"/>
      <c r="G42" s="306">
        <f>SUM(G40:G41)</f>
        <v>1.6381533878483787</v>
      </c>
      <c r="H42" s="306">
        <f>SUM(H40:H41)</f>
        <v>1.6381533878483787</v>
      </c>
      <c r="I42" s="306">
        <f>SUM(I40:I41)</f>
        <v>1.6381533878483787</v>
      </c>
      <c r="J42" s="306">
        <f>SUM(J40:J41)</f>
        <v>1.6381533878483787</v>
      </c>
      <c r="K42" s="307">
        <f>SUM(K40:K41)</f>
        <v>1.6381533878483787</v>
      </c>
      <c r="L42" s="143"/>
    </row>
    <row r="43" spans="1:3" ht="12.75">
      <c r="A43" s="115">
        <f>ROW()</f>
        <v>43</v>
      </c>
      <c r="B43" s="10"/>
      <c r="C43" s="10"/>
    </row>
    <row r="44" spans="1:7" ht="13.5" hidden="1" thickBot="1">
      <c r="A44" s="115">
        <f>ROW()</f>
        <v>44</v>
      </c>
      <c r="B44" s="10"/>
      <c r="C44" s="10"/>
      <c r="E44" s="314" t="s">
        <v>183</v>
      </c>
      <c r="F44" s="310"/>
      <c r="G44" s="311"/>
    </row>
    <row r="45" spans="1:7" ht="12.75" hidden="1">
      <c r="A45" s="115">
        <f>ROW()</f>
        <v>45</v>
      </c>
      <c r="B45" s="10"/>
      <c r="C45" s="10"/>
      <c r="E45" s="305" t="s">
        <v>31</v>
      </c>
      <c r="F45" s="28"/>
      <c r="G45" s="312">
        <f>G40*(1+CAPEX!$Q$5)^(1/2)</f>
        <v>1.5783949444403986</v>
      </c>
    </row>
    <row r="46" spans="1:7" ht="12.75" hidden="1">
      <c r="A46" s="115">
        <f>ROW()</f>
        <v>46</v>
      </c>
      <c r="B46" s="10"/>
      <c r="C46" s="10"/>
      <c r="E46" s="305" t="s">
        <v>32</v>
      </c>
      <c r="F46" s="28"/>
      <c r="G46" s="312">
        <f>G41*(1+CAPEX!$Q$5)^(1/2)</f>
        <v>0.08085964943980072</v>
      </c>
    </row>
    <row r="47" spans="1:7" ht="13.5" hidden="1" thickBot="1">
      <c r="A47" s="115">
        <f>ROW()</f>
        <v>47</v>
      </c>
      <c r="B47" s="10"/>
      <c r="C47" s="10"/>
      <c r="E47" s="48" t="s">
        <v>15</v>
      </c>
      <c r="F47" s="49"/>
      <c r="G47" s="313">
        <f>SUM(G45:G46)</f>
        <v>1.6592545938801992</v>
      </c>
    </row>
    <row r="48" spans="1:3" ht="12.75">
      <c r="A48" s="115">
        <f>ROW()</f>
        <v>48</v>
      </c>
      <c r="B48" s="10"/>
      <c r="C48" s="10"/>
    </row>
    <row r="49" spans="1:3" ht="12.75">
      <c r="A49" s="115">
        <f>ROW()</f>
        <v>49</v>
      </c>
      <c r="B49" s="10"/>
      <c r="C49" s="10"/>
    </row>
    <row r="50" spans="1:3" ht="12.75">
      <c r="A50" s="115">
        <f>ROW()</f>
        <v>50</v>
      </c>
      <c r="B50" s="10"/>
      <c r="C50" s="10"/>
    </row>
    <row r="51" ht="12.75">
      <c r="A51" s="115">
        <f>ROW()</f>
        <v>51</v>
      </c>
    </row>
    <row r="52" ht="12.75">
      <c r="A52" s="115">
        <f>ROW()</f>
        <v>52</v>
      </c>
    </row>
    <row r="53" ht="12.75">
      <c r="A53" s="115">
        <f>ROW()</f>
        <v>53</v>
      </c>
    </row>
    <row r="54" ht="12.75">
      <c r="A54" s="115">
        <f>ROW()</f>
        <v>54</v>
      </c>
    </row>
    <row r="55" ht="12.75">
      <c r="A55" s="115">
        <f>ROW()</f>
        <v>55</v>
      </c>
    </row>
    <row r="56" ht="12.75">
      <c r="A56" s="115">
        <f>ROW()</f>
        <v>56</v>
      </c>
    </row>
    <row r="57" ht="12.75">
      <c r="A57" s="115">
        <f>ROW()</f>
        <v>57</v>
      </c>
    </row>
    <row r="58" ht="12.75">
      <c r="A58" s="115">
        <f>ROW()</f>
        <v>58</v>
      </c>
    </row>
    <row r="59" ht="12.75">
      <c r="A59" s="115">
        <f>ROW()</f>
        <v>59</v>
      </c>
    </row>
    <row r="60" ht="12.75">
      <c r="A60" s="115">
        <f>ROW()</f>
        <v>60</v>
      </c>
    </row>
    <row r="61" ht="12.75">
      <c r="A61" s="115">
        <f>ROW()</f>
        <v>61</v>
      </c>
    </row>
    <row r="62" ht="12.75">
      <c r="A62" s="115">
        <f>ROW()</f>
        <v>62</v>
      </c>
    </row>
    <row r="63" ht="12.75">
      <c r="A63" s="115">
        <f>ROW()</f>
        <v>63</v>
      </c>
    </row>
    <row r="64" ht="12.75">
      <c r="A64" s="115">
        <f>ROW()</f>
        <v>64</v>
      </c>
    </row>
    <row r="65" ht="12.75">
      <c r="A65" s="115">
        <f>ROW()</f>
        <v>65</v>
      </c>
    </row>
    <row r="66" ht="12.75">
      <c r="A66" s="115">
        <f>ROW()</f>
        <v>66</v>
      </c>
    </row>
    <row r="67" ht="12.75">
      <c r="A67" s="115">
        <f>ROW()</f>
        <v>67</v>
      </c>
    </row>
    <row r="68" ht="12.75">
      <c r="A68" s="115">
        <f>ROW()</f>
        <v>68</v>
      </c>
    </row>
    <row r="69" ht="12.75">
      <c r="A69" s="115">
        <f>ROW()</f>
        <v>69</v>
      </c>
    </row>
    <row r="70" ht="12.75">
      <c r="A70" s="115">
        <f>ROW()</f>
        <v>70</v>
      </c>
    </row>
    <row r="71" ht="12.75">
      <c r="A71" s="115">
        <f>ROW()</f>
        <v>71</v>
      </c>
    </row>
    <row r="72" ht="12.75">
      <c r="A72" s="115">
        <f>ROW()</f>
        <v>72</v>
      </c>
    </row>
    <row r="73" ht="12.75">
      <c r="A73" s="115">
        <f>ROW()</f>
        <v>73</v>
      </c>
    </row>
    <row r="74" ht="12.75">
      <c r="A74" s="115">
        <f>ROW()</f>
        <v>74</v>
      </c>
    </row>
    <row r="75" ht="12.75">
      <c r="A75" s="115">
        <f>ROW()</f>
        <v>75</v>
      </c>
    </row>
    <row r="76" ht="12.75">
      <c r="A76" s="115">
        <f>ROW()</f>
        <v>76</v>
      </c>
    </row>
    <row r="77" ht="12.75">
      <c r="A77" s="115">
        <f>ROW()</f>
        <v>77</v>
      </c>
    </row>
    <row r="78" ht="12.75">
      <c r="A78" s="115">
        <f>ROW()</f>
        <v>78</v>
      </c>
    </row>
    <row r="79" ht="12.75">
      <c r="A79" s="115">
        <f>ROW()</f>
        <v>79</v>
      </c>
    </row>
    <row r="80" ht="12.75">
      <c r="A80" s="115">
        <f>ROW()</f>
        <v>80</v>
      </c>
    </row>
    <row r="81" ht="12.75">
      <c r="A81" s="115">
        <f>ROW()</f>
        <v>81</v>
      </c>
    </row>
    <row r="82" ht="12.75">
      <c r="A82" s="115">
        <f>ROW()</f>
        <v>82</v>
      </c>
    </row>
    <row r="83" ht="12.75">
      <c r="A83" s="115">
        <f>ROW()</f>
        <v>83</v>
      </c>
    </row>
    <row r="84" ht="12.75">
      <c r="A84" s="115">
        <f>ROW()</f>
        <v>84</v>
      </c>
    </row>
    <row r="85" ht="12.75">
      <c r="A85" s="115">
        <f>ROW()</f>
        <v>85</v>
      </c>
    </row>
    <row r="86" ht="12.75">
      <c r="A86" s="115">
        <f>ROW()</f>
        <v>86</v>
      </c>
    </row>
    <row r="87" ht="12.75">
      <c r="A87" s="115">
        <f>ROW()</f>
        <v>87</v>
      </c>
    </row>
    <row r="88" ht="12.75">
      <c r="A88" s="115">
        <f>ROW()</f>
        <v>88</v>
      </c>
    </row>
    <row r="89" ht="12.75">
      <c r="A89" s="115">
        <f>ROW()</f>
        <v>89</v>
      </c>
    </row>
    <row r="90" ht="12.75">
      <c r="A90" s="115">
        <f>ROW()</f>
        <v>90</v>
      </c>
    </row>
    <row r="91" ht="12.75">
      <c r="A91" s="115">
        <f>ROW()</f>
        <v>91</v>
      </c>
    </row>
    <row r="92" ht="12.75">
      <c r="A92" s="115">
        <f>ROW()</f>
        <v>92</v>
      </c>
    </row>
    <row r="93" ht="12.75">
      <c r="A93" s="115">
        <f>ROW()</f>
        <v>93</v>
      </c>
    </row>
    <row r="94" ht="12.75">
      <c r="A94" s="115">
        <f>ROW()</f>
        <v>94</v>
      </c>
    </row>
    <row r="95" ht="12.75">
      <c r="A95" s="115">
        <f>ROW()</f>
        <v>95</v>
      </c>
    </row>
    <row r="96" ht="12.75">
      <c r="A96" s="115">
        <f>ROW()</f>
        <v>96</v>
      </c>
    </row>
    <row r="97" ht="12.75">
      <c r="A97" s="115">
        <f>ROW()</f>
        <v>97</v>
      </c>
    </row>
    <row r="98" ht="12.75">
      <c r="A98" s="115">
        <f>ROW()</f>
        <v>98</v>
      </c>
    </row>
    <row r="99" ht="12.75">
      <c r="A99" s="115">
        <f>ROW()</f>
        <v>99</v>
      </c>
    </row>
    <row r="100" ht="12.75">
      <c r="A100" s="115">
        <f>ROW()</f>
        <v>100</v>
      </c>
    </row>
    <row r="101" ht="12.75">
      <c r="A101" s="115">
        <f>ROW()</f>
        <v>101</v>
      </c>
    </row>
    <row r="102" ht="12.75">
      <c r="A102" s="115">
        <f>ROW()</f>
        <v>102</v>
      </c>
    </row>
    <row r="103" ht="12.75">
      <c r="A103" s="115">
        <f>ROW()</f>
        <v>103</v>
      </c>
    </row>
    <row r="104" ht="12.75">
      <c r="A104" s="115">
        <f>ROW()</f>
        <v>104</v>
      </c>
    </row>
    <row r="105" ht="12.75">
      <c r="A105" s="115">
        <f>ROW()</f>
        <v>105</v>
      </c>
    </row>
    <row r="106" ht="12.75">
      <c r="A106" s="115">
        <f>ROW()</f>
        <v>106</v>
      </c>
    </row>
    <row r="107" ht="12.75">
      <c r="A107" s="115">
        <f>ROW()</f>
        <v>107</v>
      </c>
    </row>
    <row r="108" ht="12.75">
      <c r="A108" s="115">
        <f>ROW()</f>
        <v>108</v>
      </c>
    </row>
    <row r="109" ht="12.75">
      <c r="A109" s="115">
        <f>ROW()</f>
        <v>109</v>
      </c>
    </row>
    <row r="110" ht="12.75">
      <c r="A110" s="115">
        <f>ROW()</f>
        <v>110</v>
      </c>
    </row>
    <row r="111" ht="12.75">
      <c r="A111" s="115">
        <f>ROW()</f>
        <v>111</v>
      </c>
    </row>
    <row r="112" ht="12.75">
      <c r="A112" s="115">
        <f>ROW()</f>
        <v>112</v>
      </c>
    </row>
    <row r="113" ht="12.75">
      <c r="A113" s="115">
        <f>ROW()</f>
        <v>113</v>
      </c>
    </row>
    <row r="114" ht="12.75">
      <c r="A114" s="115">
        <f>ROW()</f>
        <v>114</v>
      </c>
    </row>
    <row r="115" ht="12.75">
      <c r="A115" s="115">
        <f>ROW()</f>
        <v>115</v>
      </c>
    </row>
    <row r="116" ht="12.75">
      <c r="A116" s="115">
        <f>ROW()</f>
        <v>116</v>
      </c>
    </row>
    <row r="117" ht="12.75">
      <c r="A117" s="115">
        <f>ROW()</f>
        <v>117</v>
      </c>
    </row>
    <row r="118" ht="12.75">
      <c r="A118" s="115">
        <f>ROW()</f>
        <v>118</v>
      </c>
    </row>
    <row r="119" ht="12.75">
      <c r="A119" s="115">
        <f>ROW()</f>
        <v>119</v>
      </c>
    </row>
    <row r="120" ht="12.75">
      <c r="A120" s="115">
        <f>ROW()</f>
        <v>120</v>
      </c>
    </row>
    <row r="121" ht="12.75">
      <c r="A121" s="115">
        <f>ROW()</f>
        <v>121</v>
      </c>
    </row>
    <row r="122" ht="12.75">
      <c r="A122" s="115">
        <f>ROW()</f>
        <v>122</v>
      </c>
    </row>
    <row r="123" ht="12.75">
      <c r="A123" s="115">
        <f>ROW()</f>
        <v>123</v>
      </c>
    </row>
    <row r="124" ht="12.75">
      <c r="A124" s="115">
        <f>ROW()</f>
        <v>124</v>
      </c>
    </row>
    <row r="125" ht="12.75">
      <c r="A125" s="115">
        <f>ROW()</f>
        <v>125</v>
      </c>
    </row>
    <row r="126" ht="12.75">
      <c r="A126" s="115">
        <f>ROW()</f>
        <v>126</v>
      </c>
    </row>
    <row r="127" ht="12.75">
      <c r="A127" s="115">
        <f>ROW()</f>
        <v>127</v>
      </c>
    </row>
    <row r="128" ht="12.75">
      <c r="A128" s="115">
        <f>ROW()</f>
        <v>128</v>
      </c>
    </row>
    <row r="129" ht="12.75">
      <c r="A129" s="115">
        <f>ROW()</f>
        <v>129</v>
      </c>
    </row>
    <row r="130" ht="12.75">
      <c r="A130" s="115">
        <f>ROW()</f>
        <v>130</v>
      </c>
    </row>
    <row r="131" ht="12.75">
      <c r="A131" s="115">
        <f>ROW()</f>
        <v>131</v>
      </c>
    </row>
    <row r="132" ht="12.75">
      <c r="A132" s="115">
        <f>ROW()</f>
        <v>132</v>
      </c>
    </row>
    <row r="133" ht="12.75">
      <c r="A133" s="115">
        <f>ROW()</f>
        <v>133</v>
      </c>
    </row>
    <row r="134" ht="12.75">
      <c r="A134" s="115">
        <f>ROW()</f>
        <v>134</v>
      </c>
    </row>
    <row r="135" ht="12.75">
      <c r="A135" s="115">
        <f>ROW()</f>
        <v>135</v>
      </c>
    </row>
    <row r="136" ht="12.75">
      <c r="A136" s="115">
        <f>ROW()</f>
        <v>136</v>
      </c>
    </row>
    <row r="137" ht="12.75">
      <c r="A137" s="115">
        <f>ROW()</f>
        <v>137</v>
      </c>
    </row>
    <row r="138" ht="12.75">
      <c r="A138" s="115">
        <f>ROW()</f>
        <v>138</v>
      </c>
    </row>
    <row r="139" ht="12.75">
      <c r="A139" s="115">
        <f>ROW()</f>
        <v>139</v>
      </c>
    </row>
    <row r="140" ht="12.75">
      <c r="A140" s="115">
        <f>ROW()</f>
        <v>140</v>
      </c>
    </row>
    <row r="141" ht="12.75">
      <c r="A141" s="115">
        <f>ROW()</f>
        <v>141</v>
      </c>
    </row>
    <row r="142" ht="12.75">
      <c r="A142" s="115">
        <f>ROW()</f>
        <v>142</v>
      </c>
    </row>
    <row r="143" ht="12.75">
      <c r="A143" s="115">
        <f>ROW()</f>
        <v>143</v>
      </c>
    </row>
    <row r="144" ht="12.75">
      <c r="A144" s="115">
        <f>ROW()</f>
        <v>144</v>
      </c>
    </row>
    <row r="145" ht="12.75">
      <c r="A145" s="115">
        <f>ROW()</f>
        <v>145</v>
      </c>
    </row>
    <row r="146" ht="12.75">
      <c r="A146" s="115">
        <f>ROW()</f>
        <v>146</v>
      </c>
    </row>
    <row r="147" ht="12.75">
      <c r="A147" s="115">
        <f>ROW()</f>
        <v>147</v>
      </c>
    </row>
    <row r="148" ht="12.75">
      <c r="A148" s="115">
        <f>ROW()</f>
        <v>148</v>
      </c>
    </row>
    <row r="149" ht="12.75">
      <c r="A149" s="115">
        <f>ROW()</f>
        <v>149</v>
      </c>
    </row>
    <row r="150" ht="12.75">
      <c r="A150" s="115">
        <f>ROW()</f>
        <v>150</v>
      </c>
    </row>
    <row r="151" ht="12.75">
      <c r="A151" s="115">
        <f>ROW()</f>
        <v>151</v>
      </c>
    </row>
    <row r="152" ht="12.75">
      <c r="A152" s="115">
        <f>ROW()</f>
        <v>152</v>
      </c>
    </row>
    <row r="153" ht="12.75">
      <c r="A153" s="115">
        <f>ROW()</f>
        <v>153</v>
      </c>
    </row>
    <row r="154" ht="12.75">
      <c r="A154" s="115">
        <f>ROW()</f>
        <v>154</v>
      </c>
    </row>
    <row r="155" ht="12.75">
      <c r="A155" s="115">
        <f>ROW()</f>
        <v>155</v>
      </c>
    </row>
    <row r="156" ht="12.75">
      <c r="A156" s="115">
        <f>ROW()</f>
        <v>156</v>
      </c>
    </row>
    <row r="157" ht="12.75">
      <c r="A157" s="115">
        <f>ROW()</f>
        <v>157</v>
      </c>
    </row>
    <row r="158" ht="12.75">
      <c r="A158" s="115">
        <f>ROW()</f>
        <v>158</v>
      </c>
    </row>
    <row r="159" ht="12.75">
      <c r="A159" s="115">
        <f>ROW()</f>
        <v>159</v>
      </c>
    </row>
    <row r="160" ht="12.75">
      <c r="A160" s="115">
        <f>ROW()</f>
        <v>160</v>
      </c>
    </row>
    <row r="161" ht="12.75">
      <c r="A161" s="115">
        <f>ROW()</f>
        <v>161</v>
      </c>
    </row>
    <row r="162" ht="12.75">
      <c r="A162" s="115">
        <f>ROW()</f>
        <v>162</v>
      </c>
    </row>
    <row r="163" ht="12.75">
      <c r="A163" s="115">
        <f>ROW()</f>
        <v>163</v>
      </c>
    </row>
    <row r="164" ht="12.75">
      <c r="A164" s="115">
        <f>ROW()</f>
        <v>164</v>
      </c>
    </row>
    <row r="165" ht="12.75">
      <c r="A165" s="115">
        <f>ROW()</f>
        <v>165</v>
      </c>
    </row>
    <row r="166" ht="12.75">
      <c r="A166" s="115">
        <f>ROW()</f>
        <v>166</v>
      </c>
    </row>
    <row r="167" ht="12.75">
      <c r="A167" s="115">
        <f>ROW()</f>
        <v>167</v>
      </c>
    </row>
    <row r="168" ht="12.75">
      <c r="A168" s="115">
        <f>ROW()</f>
        <v>168</v>
      </c>
    </row>
    <row r="169" ht="12.75">
      <c r="A169" s="115">
        <f>ROW()</f>
        <v>169</v>
      </c>
    </row>
    <row r="170" ht="12.75">
      <c r="A170" s="115">
        <f>ROW()</f>
        <v>170</v>
      </c>
    </row>
    <row r="171" ht="12.75">
      <c r="A171" s="115">
        <f>ROW()</f>
        <v>171</v>
      </c>
    </row>
    <row r="172" ht="12.75">
      <c r="A172" s="115">
        <f>ROW()</f>
        <v>172</v>
      </c>
    </row>
    <row r="173" ht="12.75">
      <c r="A173" s="115">
        <f>ROW()</f>
        <v>173</v>
      </c>
    </row>
    <row r="174" ht="12.75">
      <c r="A174" s="115">
        <f>ROW()</f>
        <v>174</v>
      </c>
    </row>
    <row r="175" ht="12.75">
      <c r="A175" s="115">
        <f>ROW()</f>
        <v>175</v>
      </c>
    </row>
    <row r="176" ht="12.75">
      <c r="A176" s="115">
        <f>ROW()</f>
        <v>176</v>
      </c>
    </row>
    <row r="177" ht="12.75">
      <c r="A177" s="115">
        <f>ROW()</f>
        <v>177</v>
      </c>
    </row>
    <row r="178" ht="12.75">
      <c r="A178" s="115">
        <f>ROW()</f>
        <v>178</v>
      </c>
    </row>
    <row r="179" ht="12.75">
      <c r="A179" s="115">
        <f>ROW()</f>
        <v>179</v>
      </c>
    </row>
    <row r="180" ht="12.75">
      <c r="A180" s="115">
        <f>ROW()</f>
        <v>180</v>
      </c>
    </row>
    <row r="181" ht="12.75">
      <c r="A181" s="115">
        <f>ROW()</f>
        <v>181</v>
      </c>
    </row>
    <row r="182" ht="12.75">
      <c r="A182" s="115">
        <f>ROW()</f>
        <v>182</v>
      </c>
    </row>
    <row r="183" ht="12.75">
      <c r="A183" s="115">
        <f>ROW()</f>
        <v>183</v>
      </c>
    </row>
    <row r="184" ht="12.75">
      <c r="A184" s="115">
        <f>ROW()</f>
        <v>184</v>
      </c>
    </row>
    <row r="185" ht="12.75">
      <c r="A185" s="115">
        <f>ROW()</f>
        <v>185</v>
      </c>
    </row>
    <row r="186" ht="12.75">
      <c r="A186" s="115">
        <f>ROW()</f>
        <v>186</v>
      </c>
    </row>
    <row r="187" ht="12.75">
      <c r="A187" s="115">
        <f>ROW()</f>
        <v>187</v>
      </c>
    </row>
    <row r="188" ht="12.75">
      <c r="A188" s="115">
        <f>ROW()</f>
        <v>188</v>
      </c>
    </row>
    <row r="189" ht="12.75">
      <c r="A189" s="115">
        <f>ROW()</f>
        <v>189</v>
      </c>
    </row>
    <row r="190" ht="12.75">
      <c r="A190" s="115">
        <f>ROW()</f>
        <v>190</v>
      </c>
    </row>
    <row r="191" ht="12.75">
      <c r="A191" s="115">
        <f>ROW()</f>
        <v>191</v>
      </c>
    </row>
    <row r="192" ht="12.75">
      <c r="A192" s="115">
        <f>ROW()</f>
        <v>192</v>
      </c>
    </row>
    <row r="193" ht="12.75">
      <c r="A193" s="115">
        <f>ROW()</f>
        <v>193</v>
      </c>
    </row>
    <row r="194" ht="12.75">
      <c r="A194" s="115">
        <f>ROW()</f>
        <v>194</v>
      </c>
    </row>
    <row r="195" ht="12.75">
      <c r="A195" s="115">
        <f>ROW()</f>
        <v>195</v>
      </c>
    </row>
    <row r="196" ht="12.75">
      <c r="A196" s="115">
        <f>ROW()</f>
        <v>196</v>
      </c>
    </row>
    <row r="197" ht="12.75">
      <c r="A197" s="115">
        <f>ROW()</f>
        <v>197</v>
      </c>
    </row>
    <row r="198" ht="12.75">
      <c r="A198" s="115">
        <f>ROW()</f>
        <v>198</v>
      </c>
    </row>
    <row r="199" ht="12.75">
      <c r="A199" s="115">
        <f>ROW()</f>
        <v>199</v>
      </c>
    </row>
    <row r="200" ht="12.75">
      <c r="A200" s="115">
        <f>ROW()</f>
        <v>200</v>
      </c>
    </row>
    <row r="201" ht="12.75">
      <c r="A201" s="115">
        <f>ROW()</f>
        <v>201</v>
      </c>
    </row>
    <row r="202" ht="12.75">
      <c r="A202" s="115">
        <f>ROW()</f>
        <v>202</v>
      </c>
    </row>
    <row r="203" ht="12.75">
      <c r="A203" s="115">
        <f>ROW()</f>
        <v>203</v>
      </c>
    </row>
    <row r="204" ht="12.75">
      <c r="A204" s="115">
        <f>ROW()</f>
        <v>204</v>
      </c>
    </row>
    <row r="205" ht="12.75">
      <c r="A205" s="115">
        <f>ROW()</f>
        <v>205</v>
      </c>
    </row>
    <row r="206" ht="12.75">
      <c r="A206" s="115">
        <f>ROW()</f>
        <v>206</v>
      </c>
    </row>
    <row r="207" ht="12.75">
      <c r="A207" s="115">
        <f>ROW()</f>
        <v>207</v>
      </c>
    </row>
    <row r="208" ht="12.75">
      <c r="A208" s="115">
        <f>ROW()</f>
        <v>208</v>
      </c>
    </row>
    <row r="209" ht="12.75">
      <c r="A209" s="115">
        <f>ROW()</f>
        <v>209</v>
      </c>
    </row>
    <row r="210" ht="12.75">
      <c r="A210" s="115">
        <f>ROW()</f>
        <v>210</v>
      </c>
    </row>
    <row r="211" ht="12.75">
      <c r="A211" s="115">
        <f>ROW()</f>
        <v>211</v>
      </c>
    </row>
    <row r="212" ht="12.75">
      <c r="A212" s="115">
        <f>ROW()</f>
        <v>212</v>
      </c>
    </row>
    <row r="213" ht="12.75">
      <c r="A213" s="115">
        <f>ROW()</f>
        <v>213</v>
      </c>
    </row>
    <row r="214" ht="12.75">
      <c r="A214" s="115">
        <f>ROW()</f>
        <v>214</v>
      </c>
    </row>
    <row r="215" ht="12.75">
      <c r="A215" s="115">
        <f>ROW()</f>
        <v>215</v>
      </c>
    </row>
    <row r="216" ht="12.75">
      <c r="A216" s="115">
        <f>ROW()</f>
        <v>216</v>
      </c>
    </row>
    <row r="217" ht="12.75">
      <c r="A217" s="115">
        <f>ROW()</f>
        <v>217</v>
      </c>
    </row>
    <row r="218" ht="12.75">
      <c r="A218" s="115">
        <f>ROW()</f>
        <v>218</v>
      </c>
    </row>
    <row r="219" ht="12.75">
      <c r="A219" s="115">
        <f>ROW()</f>
        <v>219</v>
      </c>
    </row>
    <row r="220" ht="12.75">
      <c r="A220" s="115">
        <f>ROW()</f>
        <v>220</v>
      </c>
    </row>
    <row r="221" ht="12.75">
      <c r="A221" s="115">
        <f>ROW()</f>
        <v>221</v>
      </c>
    </row>
    <row r="222" ht="12.75">
      <c r="A222" s="115">
        <f>ROW()</f>
        <v>222</v>
      </c>
    </row>
    <row r="223" ht="12.75">
      <c r="A223" s="115">
        <f>ROW()</f>
        <v>223</v>
      </c>
    </row>
    <row r="224" ht="12.75">
      <c r="A224" s="115">
        <f>ROW()</f>
        <v>224</v>
      </c>
    </row>
    <row r="225" ht="12.75">
      <c r="A225" s="115">
        <f>ROW()</f>
        <v>225</v>
      </c>
    </row>
    <row r="226" ht="12.75">
      <c r="A226" s="115">
        <f>ROW()</f>
        <v>226</v>
      </c>
    </row>
    <row r="227" ht="12.75">
      <c r="A227" s="115">
        <f>ROW()</f>
        <v>227</v>
      </c>
    </row>
    <row r="228" ht="12.75">
      <c r="A228" s="115">
        <f>ROW()</f>
        <v>228</v>
      </c>
    </row>
    <row r="229" ht="12.75">
      <c r="A229" s="115">
        <f>ROW()</f>
        <v>229</v>
      </c>
    </row>
    <row r="230" ht="12.75">
      <c r="A230" s="115">
        <f>ROW()</f>
        <v>230</v>
      </c>
    </row>
    <row r="231" ht="12.75">
      <c r="A231" s="115">
        <f>ROW()</f>
        <v>231</v>
      </c>
    </row>
    <row r="232" ht="12.75">
      <c r="A232" s="115">
        <f>ROW()</f>
        <v>232</v>
      </c>
    </row>
    <row r="233" ht="12.75">
      <c r="A233" s="115">
        <f>ROW()</f>
        <v>233</v>
      </c>
    </row>
    <row r="234" ht="12.75">
      <c r="A234" s="115">
        <f>ROW()</f>
        <v>234</v>
      </c>
    </row>
    <row r="235" ht="12.75">
      <c r="A235" s="115">
        <f>ROW()</f>
        <v>235</v>
      </c>
    </row>
    <row r="236" ht="12.75">
      <c r="A236" s="115">
        <f>ROW()</f>
        <v>236</v>
      </c>
    </row>
    <row r="237" ht="12.75">
      <c r="A237" s="115">
        <f>ROW()</f>
        <v>237</v>
      </c>
    </row>
    <row r="238" ht="12.75">
      <c r="A238" s="115">
        <f>ROW()</f>
        <v>238</v>
      </c>
    </row>
    <row r="239" ht="12.75">
      <c r="A239" s="115">
        <f>ROW()</f>
        <v>239</v>
      </c>
    </row>
    <row r="240" ht="12.75">
      <c r="A240" s="115">
        <f>ROW()</f>
        <v>240</v>
      </c>
    </row>
    <row r="241" ht="12.75">
      <c r="A241" s="115">
        <f>ROW()</f>
        <v>241</v>
      </c>
    </row>
    <row r="242" ht="12.75">
      <c r="A242" s="115">
        <f>ROW()</f>
        <v>242</v>
      </c>
    </row>
    <row r="243" ht="12.75">
      <c r="A243" s="115">
        <f>ROW()</f>
        <v>243</v>
      </c>
    </row>
    <row r="244" ht="12.75">
      <c r="A244" s="115">
        <f>ROW()</f>
        <v>244</v>
      </c>
    </row>
    <row r="245" ht="12.75">
      <c r="A245" s="115">
        <f>ROW()</f>
        <v>245</v>
      </c>
    </row>
    <row r="246" ht="12.75">
      <c r="A246" s="115">
        <f>ROW()</f>
        <v>246</v>
      </c>
    </row>
    <row r="247" ht="12.75">
      <c r="A247" s="115">
        <f>ROW()</f>
        <v>247</v>
      </c>
    </row>
    <row r="248" ht="12.75">
      <c r="A248" s="115">
        <f>ROW()</f>
        <v>248</v>
      </c>
    </row>
    <row r="249" ht="12.75">
      <c r="A249" s="115">
        <f>ROW()</f>
        <v>249</v>
      </c>
    </row>
    <row r="250" ht="12.75">
      <c r="A250" s="115">
        <f>ROW()</f>
        <v>250</v>
      </c>
    </row>
    <row r="251" ht="12.75">
      <c r="A251" s="115">
        <f>ROW()</f>
        <v>251</v>
      </c>
    </row>
    <row r="252" ht="12.75">
      <c r="A252" s="115">
        <f>ROW()</f>
        <v>252</v>
      </c>
    </row>
    <row r="253" ht="12.75">
      <c r="A253" s="115">
        <f>ROW()</f>
        <v>253</v>
      </c>
    </row>
    <row r="254" ht="12.75">
      <c r="A254" s="115">
        <f>ROW()</f>
        <v>254</v>
      </c>
    </row>
    <row r="255" ht="12.75">
      <c r="A255" s="115">
        <f>ROW()</f>
        <v>255</v>
      </c>
    </row>
    <row r="256" ht="12.75">
      <c r="A256" s="115">
        <f>ROW()</f>
        <v>256</v>
      </c>
    </row>
    <row r="257" ht="12.75">
      <c r="A257" s="115">
        <f>ROW()</f>
        <v>257</v>
      </c>
    </row>
    <row r="258" ht="12.75">
      <c r="A258" s="115">
        <f>ROW()</f>
        <v>258</v>
      </c>
    </row>
    <row r="259" ht="12.75">
      <c r="A259" s="115">
        <f>ROW()</f>
        <v>259</v>
      </c>
    </row>
    <row r="260" ht="12.75">
      <c r="A260" s="115">
        <f>ROW()</f>
        <v>260</v>
      </c>
    </row>
    <row r="261" ht="12.75">
      <c r="A261" s="115">
        <f>ROW()</f>
        <v>261</v>
      </c>
    </row>
    <row r="262" ht="12.75">
      <c r="A262" s="115">
        <f>ROW()</f>
        <v>262</v>
      </c>
    </row>
    <row r="263" ht="12.75">
      <c r="A263" s="115">
        <f>ROW()</f>
        <v>263</v>
      </c>
    </row>
    <row r="264" ht="12.75">
      <c r="A264" s="115">
        <f>ROW()</f>
        <v>264</v>
      </c>
    </row>
    <row r="265" ht="12.75">
      <c r="A265" s="115">
        <f>ROW()</f>
        <v>265</v>
      </c>
    </row>
    <row r="266" ht="12.75">
      <c r="A266" s="115">
        <f>ROW()</f>
        <v>266</v>
      </c>
    </row>
    <row r="267" ht="12.75">
      <c r="A267" s="115">
        <f>ROW()</f>
        <v>267</v>
      </c>
    </row>
    <row r="268" ht="12.75">
      <c r="A268" s="115">
        <f>ROW()</f>
        <v>268</v>
      </c>
    </row>
    <row r="269" ht="12.75">
      <c r="A269" s="115">
        <f>ROW()</f>
        <v>269</v>
      </c>
    </row>
    <row r="270" ht="12.75">
      <c r="A270" s="115">
        <f>ROW()</f>
        <v>270</v>
      </c>
    </row>
    <row r="271" ht="12.75">
      <c r="A271" s="115">
        <f>ROW()</f>
        <v>271</v>
      </c>
    </row>
    <row r="272" ht="12.75">
      <c r="A272" s="115">
        <f>ROW()</f>
        <v>272</v>
      </c>
    </row>
    <row r="273" ht="12.75">
      <c r="A273" s="115">
        <f>ROW()</f>
        <v>273</v>
      </c>
    </row>
    <row r="274" ht="12.75">
      <c r="A274" s="115">
        <f>ROW()</f>
        <v>274</v>
      </c>
    </row>
    <row r="275" ht="12.75">
      <c r="A275" s="115">
        <f>ROW()</f>
        <v>275</v>
      </c>
    </row>
    <row r="276" ht="12.75">
      <c r="A276" s="115">
        <f>ROW()</f>
        <v>276</v>
      </c>
    </row>
    <row r="277" ht="12.75">
      <c r="A277" s="115">
        <f>ROW()</f>
        <v>277</v>
      </c>
    </row>
    <row r="278" ht="12.75">
      <c r="A278" s="115">
        <f>ROW()</f>
        <v>278</v>
      </c>
    </row>
    <row r="279" ht="12.75">
      <c r="A279" s="115">
        <f>ROW()</f>
        <v>279</v>
      </c>
    </row>
    <row r="280" ht="12.75">
      <c r="A280" s="115">
        <f>ROW()</f>
        <v>280</v>
      </c>
    </row>
    <row r="281" ht="12.75">
      <c r="A281" s="115">
        <f>ROW()</f>
        <v>281</v>
      </c>
    </row>
    <row r="282" ht="12.75">
      <c r="A282" s="115">
        <f>ROW()</f>
        <v>282</v>
      </c>
    </row>
    <row r="283" ht="12.75">
      <c r="A283" s="115">
        <f>ROW()</f>
        <v>283</v>
      </c>
    </row>
    <row r="284" ht="12.75">
      <c r="A284" s="115">
        <f>ROW()</f>
        <v>284</v>
      </c>
    </row>
    <row r="285" ht="12.75">
      <c r="A285" s="115">
        <f>ROW()</f>
        <v>285</v>
      </c>
    </row>
    <row r="286" ht="12.75">
      <c r="A286" s="115">
        <f>ROW()</f>
        <v>286</v>
      </c>
    </row>
    <row r="287" ht="12.75">
      <c r="A287" s="115">
        <f>ROW()</f>
        <v>287</v>
      </c>
    </row>
    <row r="288" ht="12.75">
      <c r="A288" s="115">
        <f>ROW()</f>
        <v>288</v>
      </c>
    </row>
    <row r="289" ht="12.75">
      <c r="A289" s="115">
        <f>ROW()</f>
        <v>289</v>
      </c>
    </row>
    <row r="290" ht="12.75">
      <c r="A290" s="115">
        <f>ROW()</f>
        <v>290</v>
      </c>
    </row>
    <row r="291" ht="12.75">
      <c r="A291" s="115">
        <f>ROW()</f>
        <v>291</v>
      </c>
    </row>
    <row r="292" ht="12.75">
      <c r="A292" s="115">
        <f>ROW()</f>
        <v>292</v>
      </c>
    </row>
    <row r="293" ht="12.75">
      <c r="A293" s="115">
        <f>ROW()</f>
        <v>293</v>
      </c>
    </row>
    <row r="294" ht="12.75">
      <c r="A294" s="115">
        <f>ROW()</f>
        <v>294</v>
      </c>
    </row>
    <row r="295" ht="12.75">
      <c r="A295" s="115">
        <f>ROW()</f>
        <v>295</v>
      </c>
    </row>
    <row r="296" ht="12.75">
      <c r="A296" s="115">
        <f>ROW()</f>
        <v>296</v>
      </c>
    </row>
    <row r="297" ht="12.75">
      <c r="A297" s="115">
        <f>ROW()</f>
        <v>297</v>
      </c>
    </row>
    <row r="298" ht="12.75">
      <c r="A298" s="115">
        <f>ROW()</f>
        <v>298</v>
      </c>
    </row>
    <row r="299" ht="12.75">
      <c r="A299" s="115">
        <f>ROW()</f>
        <v>299</v>
      </c>
    </row>
    <row r="300" ht="12.75">
      <c r="A300" s="115">
        <f>ROW()</f>
        <v>300</v>
      </c>
    </row>
    <row r="301" ht="12.75">
      <c r="A301" s="115">
        <f>ROW()</f>
        <v>301</v>
      </c>
    </row>
    <row r="302" ht="12.75">
      <c r="A302" s="115">
        <f>ROW()</f>
        <v>302</v>
      </c>
    </row>
    <row r="303" ht="12.75">
      <c r="A303" s="115">
        <f>ROW()</f>
        <v>303</v>
      </c>
    </row>
    <row r="304" ht="12.75">
      <c r="A304" s="115">
        <f>ROW()</f>
        <v>304</v>
      </c>
    </row>
    <row r="305" ht="12.75">
      <c r="A305" s="115">
        <f>ROW()</f>
        <v>305</v>
      </c>
    </row>
    <row r="306" ht="12.75">
      <c r="A306" s="115">
        <f>ROW()</f>
        <v>306</v>
      </c>
    </row>
    <row r="307" ht="12.75">
      <c r="A307" s="115">
        <f>ROW()</f>
        <v>307</v>
      </c>
    </row>
    <row r="308" ht="12.75">
      <c r="A308" s="115">
        <f>ROW()</f>
        <v>308</v>
      </c>
    </row>
    <row r="309" ht="12.75">
      <c r="A309" s="115">
        <f>ROW()</f>
        <v>309</v>
      </c>
    </row>
    <row r="310" ht="12.75">
      <c r="A310" s="115">
        <f>ROW()</f>
        <v>310</v>
      </c>
    </row>
    <row r="311" ht="12.75">
      <c r="A311" s="115">
        <f>ROW()</f>
        <v>311</v>
      </c>
    </row>
    <row r="312" ht="12.75">
      <c r="A312" s="115">
        <f>ROW()</f>
        <v>312</v>
      </c>
    </row>
    <row r="313" ht="12.75">
      <c r="A313" s="115">
        <f>ROW()</f>
        <v>313</v>
      </c>
    </row>
    <row r="314" ht="12.75">
      <c r="A314" s="115">
        <f>ROW()</f>
        <v>314</v>
      </c>
    </row>
    <row r="315" ht="12.75">
      <c r="A315" s="115">
        <f>ROW()</f>
        <v>315</v>
      </c>
    </row>
    <row r="316" ht="12.75">
      <c r="A316" s="115">
        <f>ROW()</f>
        <v>316</v>
      </c>
    </row>
    <row r="317" ht="12.75">
      <c r="A317" s="115">
        <f>ROW()</f>
        <v>317</v>
      </c>
    </row>
    <row r="318" ht="12.75">
      <c r="A318" s="115">
        <f>ROW()</f>
        <v>318</v>
      </c>
    </row>
    <row r="319" ht="12.75">
      <c r="A319" s="115">
        <f>ROW()</f>
        <v>319</v>
      </c>
    </row>
    <row r="320" ht="12.75">
      <c r="A320" s="115">
        <f>ROW()</f>
        <v>320</v>
      </c>
    </row>
    <row r="321" ht="12.75">
      <c r="A321" s="115">
        <f>ROW()</f>
        <v>321</v>
      </c>
    </row>
    <row r="322" ht="12.75">
      <c r="A322" s="115">
        <f>ROW()</f>
        <v>322</v>
      </c>
    </row>
    <row r="323" ht="12.75">
      <c r="A323" s="115">
        <f>ROW()</f>
        <v>323</v>
      </c>
    </row>
    <row r="324" ht="12.75">
      <c r="A324" s="115">
        <f>ROW()</f>
        <v>324</v>
      </c>
    </row>
    <row r="325" ht="12.75">
      <c r="A325" s="115">
        <f>ROW()</f>
        <v>325</v>
      </c>
    </row>
    <row r="326" ht="12.75">
      <c r="A326" s="115">
        <f>ROW()</f>
        <v>326</v>
      </c>
    </row>
    <row r="327" ht="12.75">
      <c r="A327" s="115">
        <f>ROW()</f>
        <v>327</v>
      </c>
    </row>
    <row r="328" ht="12.75">
      <c r="A328" s="115">
        <f>ROW()</f>
        <v>328</v>
      </c>
    </row>
    <row r="329" ht="12.75">
      <c r="A329" s="115">
        <f>ROW()</f>
        <v>329</v>
      </c>
    </row>
    <row r="330" ht="12.75">
      <c r="A330" s="115">
        <f>ROW()</f>
        <v>330</v>
      </c>
    </row>
    <row r="331" ht="12.75">
      <c r="A331" s="115">
        <f>ROW()</f>
        <v>331</v>
      </c>
    </row>
    <row r="332" ht="12.75">
      <c r="A332" s="115">
        <f>ROW()</f>
        <v>332</v>
      </c>
    </row>
    <row r="333" ht="12.75">
      <c r="A333" s="115">
        <f>ROW()</f>
        <v>333</v>
      </c>
    </row>
    <row r="334" ht="12.75">
      <c r="A334" s="115">
        <f>ROW()</f>
        <v>334</v>
      </c>
    </row>
    <row r="335" ht="12.75">
      <c r="A335" s="115">
        <f>ROW()</f>
        <v>335</v>
      </c>
    </row>
    <row r="336" ht="12.75">
      <c r="A336" s="115">
        <f>ROW()</f>
        <v>336</v>
      </c>
    </row>
  </sheetData>
  <sheetProtection/>
  <dataValidations count="1">
    <dataValidation type="list" allowBlank="1" showInputMessage="1" showErrorMessage="1" sqref="E6:F6">
      <formula1>YearList</formula1>
    </dataValidation>
  </dataValidations>
  <printOptions/>
  <pageMargins left="0.75" right="0.75" top="1" bottom="1" header="0.5" footer="0.5"/>
  <pageSetup fitToHeight="1" fitToWidth="1" horizontalDpi="300" verticalDpi="300" orientation="landscape" paperSize="8" scale="92" r:id="rId3"/>
  <headerFooter alignWithMargins="0">
    <oddFooter>&amp;L&amp;A&amp;C&amp;F&amp;R&amp;P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E313"/>
  <sheetViews>
    <sheetView showGridLines="0" zoomScalePageLayoutView="0" workbookViewId="0" topLeftCell="A1">
      <selection activeCell="J23" sqref="J23"/>
    </sheetView>
  </sheetViews>
  <sheetFormatPr defaultColWidth="9.140625" defaultRowHeight="12.75"/>
  <cols>
    <col min="1" max="1" width="3.7109375" style="114" customWidth="1"/>
    <col min="2" max="2" width="3.28125" style="114" customWidth="1"/>
    <col min="3" max="3" width="47.140625" style="229" customWidth="1"/>
    <col min="4" max="4" width="23.00390625" style="229" customWidth="1"/>
    <col min="5" max="5" width="12.7109375" style="229" customWidth="1"/>
    <col min="6" max="16384" width="9.140625" style="229" customWidth="1"/>
  </cols>
  <sheetData>
    <row r="1" spans="1:3" s="113" customFormat="1" ht="15">
      <c r="A1" s="111"/>
      <c r="B1" s="111"/>
      <c r="C1" s="112" t="s">
        <v>132</v>
      </c>
    </row>
    <row r="2" spans="1:2" s="228" customFormat="1" ht="12.75">
      <c r="A2" s="115">
        <f>ROW()</f>
        <v>2</v>
      </c>
      <c r="B2" s="115"/>
    </row>
    <row r="3" spans="1:3" s="236" customFormat="1" ht="12.75">
      <c r="A3" s="115">
        <f>ROW()</f>
        <v>3</v>
      </c>
      <c r="B3" s="115"/>
      <c r="C3" s="240"/>
    </row>
    <row r="4" spans="1:3" ht="12.75">
      <c r="A4" s="115">
        <f>ROW()</f>
        <v>4</v>
      </c>
      <c r="B4" s="115"/>
      <c r="C4" s="230" t="s">
        <v>120</v>
      </c>
    </row>
    <row r="5" spans="1:2" ht="13.5" thickBot="1">
      <c r="A5" s="115">
        <f>ROW()</f>
        <v>5</v>
      </c>
      <c r="B5" s="115"/>
    </row>
    <row r="6" spans="1:5" ht="13.5" thickBot="1">
      <c r="A6" s="115">
        <f>ROW()</f>
        <v>6</v>
      </c>
      <c r="B6" s="115"/>
      <c r="C6" s="231" t="s">
        <v>106</v>
      </c>
      <c r="D6" s="232"/>
      <c r="E6" s="233" t="s">
        <v>131</v>
      </c>
    </row>
    <row r="7" spans="1:5" ht="12.75">
      <c r="A7" s="115">
        <f>ROW()</f>
        <v>7</v>
      </c>
      <c r="B7" s="115"/>
      <c r="C7" s="234" t="s">
        <v>121</v>
      </c>
      <c r="D7" s="244"/>
      <c r="E7" s="315">
        <v>0.125</v>
      </c>
    </row>
    <row r="8" spans="1:5" ht="12.75">
      <c r="A8" s="115">
        <f>ROW()</f>
        <v>8</v>
      </c>
      <c r="B8" s="115"/>
      <c r="C8" s="234" t="s">
        <v>122</v>
      </c>
      <c r="D8" s="244"/>
      <c r="E8" s="315">
        <v>0.0952</v>
      </c>
    </row>
    <row r="9" spans="1:5" ht="12.75">
      <c r="A9" s="115">
        <f>ROW()</f>
        <v>9</v>
      </c>
      <c r="B9" s="115"/>
      <c r="C9" s="234" t="s">
        <v>123</v>
      </c>
      <c r="D9" s="244"/>
      <c r="E9" s="315">
        <v>0.4</v>
      </c>
    </row>
    <row r="10" spans="1:5" ht="12.75">
      <c r="A10" s="115">
        <f>ROW()</f>
        <v>10</v>
      </c>
      <c r="B10" s="115"/>
      <c r="C10" s="234" t="s">
        <v>124</v>
      </c>
      <c r="D10" s="244"/>
      <c r="E10" s="315">
        <v>0.6</v>
      </c>
    </row>
    <row r="11" spans="1:5" ht="12.75">
      <c r="A11" s="115">
        <f>ROW()</f>
        <v>11</v>
      </c>
      <c r="B11" s="115"/>
      <c r="C11" s="234" t="s">
        <v>114</v>
      </c>
      <c r="D11" s="244"/>
      <c r="E11" s="315">
        <v>0.3</v>
      </c>
    </row>
    <row r="12" spans="1:5" ht="12.75">
      <c r="A12" s="115">
        <f>ROW()</f>
        <v>12</v>
      </c>
      <c r="C12" s="234" t="s">
        <v>125</v>
      </c>
      <c r="D12" s="244"/>
      <c r="E12" s="316">
        <v>0</v>
      </c>
    </row>
    <row r="13" spans="1:5" ht="13.5" thickBot="1">
      <c r="A13" s="115">
        <f>ROW()</f>
        <v>13</v>
      </c>
      <c r="C13" s="242" t="s">
        <v>116</v>
      </c>
      <c r="D13" s="245"/>
      <c r="E13" s="317">
        <v>0.0257</v>
      </c>
    </row>
    <row r="14" spans="1:5" ht="13.5" thickBot="1">
      <c r="A14" s="115">
        <f>ROW()</f>
        <v>14</v>
      </c>
      <c r="C14" s="237" t="s">
        <v>10</v>
      </c>
      <c r="D14" s="238"/>
      <c r="E14" s="239"/>
    </row>
    <row r="15" spans="1:5" ht="12.75">
      <c r="A15" s="115">
        <f>ROW()</f>
        <v>15</v>
      </c>
      <c r="C15" s="262" t="s">
        <v>126</v>
      </c>
      <c r="D15" s="263"/>
      <c r="E15" s="264">
        <f>$E$7*(1/(1-$E$11*(1-$E$12))*$E$9)+$E$8*$E$10</f>
        <v>0.12854857142857146</v>
      </c>
    </row>
    <row r="16" spans="1:5" ht="13.5" thickBot="1">
      <c r="A16" s="115">
        <f>ROW()</f>
        <v>16</v>
      </c>
      <c r="C16" s="242" t="s">
        <v>117</v>
      </c>
      <c r="D16" s="245"/>
      <c r="E16" s="243">
        <f>(1+$E$15)/(1+$E$13)-1</f>
        <v>0.10027159152634435</v>
      </c>
    </row>
    <row r="17" ht="12.75">
      <c r="A17" s="115">
        <f>ROW()</f>
        <v>17</v>
      </c>
    </row>
    <row r="18" ht="12.75">
      <c r="A18" s="115">
        <f>ROW()</f>
        <v>18</v>
      </c>
    </row>
    <row r="19" ht="12.75">
      <c r="A19" s="115">
        <f>ROW()</f>
        <v>19</v>
      </c>
    </row>
    <row r="20" ht="12.75">
      <c r="A20" s="115">
        <f>ROW()</f>
        <v>20</v>
      </c>
    </row>
    <row r="21" ht="12.75">
      <c r="A21" s="115">
        <f>ROW()</f>
        <v>21</v>
      </c>
    </row>
    <row r="22" ht="12.75">
      <c r="A22" s="115">
        <f>ROW()</f>
        <v>22</v>
      </c>
    </row>
    <row r="23" ht="12.75">
      <c r="A23" s="115">
        <f>ROW()</f>
        <v>23</v>
      </c>
    </row>
    <row r="24" ht="12.75">
      <c r="A24" s="115">
        <f>ROW()</f>
        <v>24</v>
      </c>
    </row>
    <row r="25" ht="12.75">
      <c r="A25" s="115">
        <f>ROW()</f>
        <v>25</v>
      </c>
    </row>
    <row r="26" ht="12.75">
      <c r="A26" s="115">
        <f>ROW()</f>
        <v>26</v>
      </c>
    </row>
    <row r="27" ht="12.75">
      <c r="A27" s="115">
        <f>ROW()</f>
        <v>27</v>
      </c>
    </row>
    <row r="28" ht="12.75">
      <c r="A28" s="115">
        <f>ROW()</f>
        <v>28</v>
      </c>
    </row>
    <row r="29" ht="12.75">
      <c r="A29" s="115">
        <f>ROW()</f>
        <v>29</v>
      </c>
    </row>
    <row r="30" ht="12.75">
      <c r="A30" s="115">
        <f>ROW()</f>
        <v>30</v>
      </c>
    </row>
    <row r="31" ht="12.75">
      <c r="A31" s="115">
        <f>ROW()</f>
        <v>31</v>
      </c>
    </row>
    <row r="32" ht="12.75">
      <c r="A32" s="115">
        <f>ROW()</f>
        <v>32</v>
      </c>
    </row>
    <row r="33" ht="12.75">
      <c r="A33" s="115">
        <f>ROW()</f>
        <v>33</v>
      </c>
    </row>
    <row r="34" ht="12.75">
      <c r="A34" s="115">
        <f>ROW()</f>
        <v>34</v>
      </c>
    </row>
    <row r="35" ht="12.75">
      <c r="A35" s="115">
        <f>ROW()</f>
        <v>35</v>
      </c>
    </row>
    <row r="36" ht="12.75">
      <c r="A36" s="115">
        <f>ROW()</f>
        <v>36</v>
      </c>
    </row>
    <row r="37" ht="12.75">
      <c r="A37" s="115">
        <f>ROW()</f>
        <v>37</v>
      </c>
    </row>
    <row r="38" ht="12.75">
      <c r="A38" s="115">
        <f>ROW()</f>
        <v>38</v>
      </c>
    </row>
    <row r="39" ht="12.75">
      <c r="A39" s="115">
        <f>ROW()</f>
        <v>39</v>
      </c>
    </row>
    <row r="40" ht="12.75">
      <c r="A40" s="115">
        <f>ROW()</f>
        <v>40</v>
      </c>
    </row>
    <row r="41" ht="12.75">
      <c r="A41" s="115">
        <f>ROW()</f>
        <v>41</v>
      </c>
    </row>
    <row r="42" ht="12.75">
      <c r="A42" s="115">
        <f>ROW()</f>
        <v>42</v>
      </c>
    </row>
    <row r="43" ht="12.75">
      <c r="A43" s="115">
        <f>ROW()</f>
        <v>43</v>
      </c>
    </row>
    <row r="44" ht="12.75">
      <c r="A44" s="115">
        <f>ROW()</f>
        <v>44</v>
      </c>
    </row>
    <row r="45" ht="12.75">
      <c r="A45" s="115">
        <f>ROW()</f>
        <v>45</v>
      </c>
    </row>
    <row r="46" ht="12.75">
      <c r="A46" s="115">
        <f>ROW()</f>
        <v>46</v>
      </c>
    </row>
    <row r="47" ht="12.75">
      <c r="A47" s="115">
        <f>ROW()</f>
        <v>47</v>
      </c>
    </row>
    <row r="48" ht="12.75">
      <c r="A48" s="115">
        <f>ROW()</f>
        <v>48</v>
      </c>
    </row>
    <row r="49" ht="12.75">
      <c r="A49" s="115">
        <f>ROW()</f>
        <v>49</v>
      </c>
    </row>
    <row r="50" ht="12.75">
      <c r="A50" s="115">
        <f>ROW()</f>
        <v>50</v>
      </c>
    </row>
    <row r="51" ht="12.75">
      <c r="A51" s="115">
        <f>ROW()</f>
        <v>51</v>
      </c>
    </row>
    <row r="52" ht="12.75">
      <c r="A52" s="115">
        <f>ROW()</f>
        <v>52</v>
      </c>
    </row>
    <row r="53" ht="12.75">
      <c r="A53" s="115">
        <f>ROW()</f>
        <v>53</v>
      </c>
    </row>
    <row r="54" ht="12.75">
      <c r="A54" s="115">
        <f>ROW()</f>
        <v>54</v>
      </c>
    </row>
    <row r="55" ht="12.75">
      <c r="A55" s="115">
        <f>ROW()</f>
        <v>55</v>
      </c>
    </row>
    <row r="56" ht="12.75">
      <c r="A56" s="115">
        <f>ROW()</f>
        <v>56</v>
      </c>
    </row>
    <row r="57" ht="12.75">
      <c r="A57" s="115">
        <f>ROW()</f>
        <v>57</v>
      </c>
    </row>
    <row r="58" ht="12.75">
      <c r="A58" s="115">
        <f>ROW()</f>
        <v>58</v>
      </c>
    </row>
    <row r="59" ht="12.75">
      <c r="A59" s="115">
        <f>ROW()</f>
        <v>59</v>
      </c>
    </row>
    <row r="60" ht="12.75">
      <c r="A60" s="115">
        <f>ROW()</f>
        <v>60</v>
      </c>
    </row>
    <row r="61" ht="12.75">
      <c r="A61" s="115">
        <f>ROW()</f>
        <v>61</v>
      </c>
    </row>
    <row r="62" ht="12.75">
      <c r="A62" s="115">
        <f>ROW()</f>
        <v>62</v>
      </c>
    </row>
    <row r="63" ht="12.75">
      <c r="A63" s="115">
        <f>ROW()</f>
        <v>63</v>
      </c>
    </row>
    <row r="64" ht="12.75">
      <c r="A64" s="115">
        <f>ROW()</f>
        <v>64</v>
      </c>
    </row>
    <row r="65" ht="12.75">
      <c r="A65" s="115">
        <f>ROW()</f>
        <v>65</v>
      </c>
    </row>
    <row r="66" ht="12.75">
      <c r="A66" s="115">
        <f>ROW()</f>
        <v>66</v>
      </c>
    </row>
    <row r="67" ht="12.75">
      <c r="A67" s="115">
        <f>ROW()</f>
        <v>67</v>
      </c>
    </row>
    <row r="68" ht="12.75">
      <c r="A68" s="115">
        <f>ROW()</f>
        <v>68</v>
      </c>
    </row>
    <row r="69" ht="12.75">
      <c r="A69" s="115">
        <f>ROW()</f>
        <v>69</v>
      </c>
    </row>
    <row r="70" ht="12.75">
      <c r="A70" s="115">
        <f>ROW()</f>
        <v>70</v>
      </c>
    </row>
    <row r="71" ht="12.75">
      <c r="A71" s="115">
        <f>ROW()</f>
        <v>71</v>
      </c>
    </row>
    <row r="72" ht="12.75">
      <c r="A72" s="115">
        <f>ROW()</f>
        <v>72</v>
      </c>
    </row>
    <row r="73" ht="12.75">
      <c r="A73" s="115">
        <f>ROW()</f>
        <v>73</v>
      </c>
    </row>
    <row r="74" ht="12.75">
      <c r="A74" s="115">
        <f>ROW()</f>
        <v>74</v>
      </c>
    </row>
    <row r="75" ht="12.75">
      <c r="A75" s="115">
        <f>ROW()</f>
        <v>75</v>
      </c>
    </row>
    <row r="76" ht="12.75">
      <c r="A76" s="115">
        <f>ROW()</f>
        <v>76</v>
      </c>
    </row>
    <row r="77" ht="12.75">
      <c r="A77" s="115">
        <f>ROW()</f>
        <v>77</v>
      </c>
    </row>
    <row r="78" ht="12.75">
      <c r="A78" s="115">
        <f>ROW()</f>
        <v>78</v>
      </c>
    </row>
    <row r="79" ht="12.75">
      <c r="A79" s="115">
        <f>ROW()</f>
        <v>79</v>
      </c>
    </row>
    <row r="80" ht="12.75">
      <c r="A80" s="115">
        <f>ROW()</f>
        <v>80</v>
      </c>
    </row>
    <row r="81" ht="12.75">
      <c r="A81" s="115">
        <f>ROW()</f>
        <v>81</v>
      </c>
    </row>
    <row r="82" ht="12.75">
      <c r="A82" s="115">
        <f>ROW()</f>
        <v>82</v>
      </c>
    </row>
    <row r="83" ht="12.75">
      <c r="A83" s="115">
        <f>ROW()</f>
        <v>83</v>
      </c>
    </row>
    <row r="84" ht="12.75">
      <c r="A84" s="115">
        <f>ROW()</f>
        <v>84</v>
      </c>
    </row>
    <row r="85" ht="12.75">
      <c r="A85" s="115">
        <f>ROW()</f>
        <v>85</v>
      </c>
    </row>
    <row r="86" ht="12.75">
      <c r="A86" s="115">
        <f>ROW()</f>
        <v>86</v>
      </c>
    </row>
    <row r="87" ht="12.75">
      <c r="A87" s="115">
        <f>ROW()</f>
        <v>87</v>
      </c>
    </row>
    <row r="88" ht="12.75">
      <c r="A88" s="115">
        <f>ROW()</f>
        <v>88</v>
      </c>
    </row>
    <row r="89" ht="12.75">
      <c r="A89" s="115">
        <f>ROW()</f>
        <v>89</v>
      </c>
    </row>
    <row r="90" ht="12.75">
      <c r="A90" s="115">
        <f>ROW()</f>
        <v>90</v>
      </c>
    </row>
    <row r="91" ht="12.75">
      <c r="A91" s="115">
        <f>ROW()</f>
        <v>91</v>
      </c>
    </row>
    <row r="92" ht="12.75">
      <c r="A92" s="115">
        <f>ROW()</f>
        <v>92</v>
      </c>
    </row>
    <row r="93" ht="12.75">
      <c r="A93" s="115">
        <f>ROW()</f>
        <v>93</v>
      </c>
    </row>
    <row r="94" ht="12.75">
      <c r="A94" s="115">
        <f>ROW()</f>
        <v>94</v>
      </c>
    </row>
    <row r="95" ht="12.75">
      <c r="A95" s="115">
        <f>ROW()</f>
        <v>95</v>
      </c>
    </row>
    <row r="96" ht="12.75">
      <c r="A96" s="115">
        <f>ROW()</f>
        <v>96</v>
      </c>
    </row>
    <row r="97" ht="12.75">
      <c r="A97" s="115">
        <f>ROW()</f>
        <v>97</v>
      </c>
    </row>
    <row r="98" ht="12.75">
      <c r="A98" s="115">
        <f>ROW()</f>
        <v>98</v>
      </c>
    </row>
    <row r="99" ht="12.75">
      <c r="A99" s="115">
        <f>ROW()</f>
        <v>99</v>
      </c>
    </row>
    <row r="100" ht="12.75">
      <c r="A100" s="115">
        <f>ROW()</f>
        <v>100</v>
      </c>
    </row>
    <row r="101" ht="12.75">
      <c r="A101" s="115">
        <f>ROW()</f>
        <v>101</v>
      </c>
    </row>
    <row r="102" ht="12.75">
      <c r="A102" s="115">
        <f>ROW()</f>
        <v>102</v>
      </c>
    </row>
    <row r="103" ht="12.75">
      <c r="A103" s="115">
        <f>ROW()</f>
        <v>103</v>
      </c>
    </row>
    <row r="104" ht="12.75">
      <c r="A104" s="115">
        <f>ROW()</f>
        <v>104</v>
      </c>
    </row>
    <row r="105" ht="12.75">
      <c r="A105" s="115">
        <f>ROW()</f>
        <v>105</v>
      </c>
    </row>
    <row r="106" ht="12.75">
      <c r="A106" s="115">
        <f>ROW()</f>
        <v>106</v>
      </c>
    </row>
    <row r="107" ht="12.75">
      <c r="A107" s="115">
        <f>ROW()</f>
        <v>107</v>
      </c>
    </row>
    <row r="108" ht="12.75">
      <c r="A108" s="115">
        <f>ROW()</f>
        <v>108</v>
      </c>
    </row>
    <row r="109" ht="12.75">
      <c r="A109" s="115">
        <f>ROW()</f>
        <v>109</v>
      </c>
    </row>
    <row r="110" ht="12.75">
      <c r="A110" s="115">
        <f>ROW()</f>
        <v>110</v>
      </c>
    </row>
    <row r="111" ht="12.75">
      <c r="A111" s="115">
        <f>ROW()</f>
        <v>111</v>
      </c>
    </row>
    <row r="112" ht="12.75">
      <c r="A112" s="115">
        <f>ROW()</f>
        <v>112</v>
      </c>
    </row>
    <row r="113" ht="12.75">
      <c r="A113" s="115">
        <f>ROW()</f>
        <v>113</v>
      </c>
    </row>
    <row r="114" ht="12.75">
      <c r="A114" s="115">
        <f>ROW()</f>
        <v>114</v>
      </c>
    </row>
    <row r="115" ht="12.75">
      <c r="A115" s="115">
        <f>ROW()</f>
        <v>115</v>
      </c>
    </row>
    <row r="116" ht="12.75">
      <c r="A116" s="115">
        <f>ROW()</f>
        <v>116</v>
      </c>
    </row>
    <row r="117" ht="12.75">
      <c r="A117" s="115">
        <f>ROW()</f>
        <v>117</v>
      </c>
    </row>
    <row r="118" ht="12.75">
      <c r="A118" s="115">
        <f>ROW()</f>
        <v>118</v>
      </c>
    </row>
    <row r="119" ht="12.75">
      <c r="A119" s="115">
        <f>ROW()</f>
        <v>119</v>
      </c>
    </row>
    <row r="120" ht="12.75">
      <c r="A120" s="115">
        <f>ROW()</f>
        <v>120</v>
      </c>
    </row>
    <row r="121" ht="12.75">
      <c r="A121" s="115">
        <f>ROW()</f>
        <v>121</v>
      </c>
    </row>
    <row r="122" ht="12.75">
      <c r="A122" s="115">
        <f>ROW()</f>
        <v>122</v>
      </c>
    </row>
    <row r="123" ht="12.75">
      <c r="A123" s="115">
        <f>ROW()</f>
        <v>123</v>
      </c>
    </row>
    <row r="124" ht="12.75">
      <c r="A124" s="115">
        <f>ROW()</f>
        <v>124</v>
      </c>
    </row>
    <row r="125" ht="12.75">
      <c r="A125" s="115">
        <f>ROW()</f>
        <v>125</v>
      </c>
    </row>
    <row r="126" ht="12.75">
      <c r="A126" s="115">
        <f>ROW()</f>
        <v>126</v>
      </c>
    </row>
    <row r="127" ht="12.75">
      <c r="A127" s="115">
        <f>ROW()</f>
        <v>127</v>
      </c>
    </row>
    <row r="128" ht="12.75">
      <c r="A128" s="115">
        <f>ROW()</f>
        <v>128</v>
      </c>
    </row>
    <row r="129" ht="12.75">
      <c r="A129" s="115">
        <f>ROW()</f>
        <v>129</v>
      </c>
    </row>
    <row r="130" ht="12.75">
      <c r="A130" s="115">
        <f>ROW()</f>
        <v>130</v>
      </c>
    </row>
    <row r="131" ht="12.75">
      <c r="A131" s="115">
        <f>ROW()</f>
        <v>131</v>
      </c>
    </row>
    <row r="132" ht="12.75">
      <c r="A132" s="115">
        <f>ROW()</f>
        <v>132</v>
      </c>
    </row>
    <row r="133" ht="12.75">
      <c r="A133" s="115">
        <f>ROW()</f>
        <v>133</v>
      </c>
    </row>
    <row r="134" ht="12.75">
      <c r="A134" s="115">
        <f>ROW()</f>
        <v>134</v>
      </c>
    </row>
    <row r="135" ht="12.75">
      <c r="A135" s="115">
        <f>ROW()</f>
        <v>135</v>
      </c>
    </row>
    <row r="136" ht="12.75">
      <c r="A136" s="115">
        <f>ROW()</f>
        <v>136</v>
      </c>
    </row>
    <row r="137" ht="12.75">
      <c r="A137" s="115">
        <f>ROW()</f>
        <v>137</v>
      </c>
    </row>
    <row r="138" ht="12.75">
      <c r="A138" s="115">
        <f>ROW()</f>
        <v>138</v>
      </c>
    </row>
    <row r="139" ht="12.75">
      <c r="A139" s="115">
        <f>ROW()</f>
        <v>139</v>
      </c>
    </row>
    <row r="140" ht="12.75">
      <c r="A140" s="115">
        <f>ROW()</f>
        <v>140</v>
      </c>
    </row>
    <row r="141" ht="12.75">
      <c r="A141" s="115">
        <f>ROW()</f>
        <v>141</v>
      </c>
    </row>
    <row r="142" ht="12.75">
      <c r="A142" s="115">
        <f>ROW()</f>
        <v>142</v>
      </c>
    </row>
    <row r="143" ht="12.75">
      <c r="A143" s="115">
        <f>ROW()</f>
        <v>143</v>
      </c>
    </row>
    <row r="144" ht="12.75">
      <c r="A144" s="115">
        <f>ROW()</f>
        <v>144</v>
      </c>
    </row>
    <row r="145" ht="12.75">
      <c r="A145" s="115">
        <f>ROW()</f>
        <v>145</v>
      </c>
    </row>
    <row r="146" ht="12.75">
      <c r="A146" s="115">
        <f>ROW()</f>
        <v>146</v>
      </c>
    </row>
    <row r="147" ht="12.75">
      <c r="A147" s="115">
        <f>ROW()</f>
        <v>147</v>
      </c>
    </row>
    <row r="148" ht="12.75">
      <c r="A148" s="115">
        <f>ROW()</f>
        <v>148</v>
      </c>
    </row>
    <row r="149" ht="12.75">
      <c r="A149" s="115">
        <f>ROW()</f>
        <v>149</v>
      </c>
    </row>
    <row r="150" ht="12.75">
      <c r="A150" s="115">
        <f>ROW()</f>
        <v>150</v>
      </c>
    </row>
    <row r="151" ht="12.75">
      <c r="A151" s="115">
        <f>ROW()</f>
        <v>151</v>
      </c>
    </row>
    <row r="152" ht="12.75">
      <c r="A152" s="115">
        <f>ROW()</f>
        <v>152</v>
      </c>
    </row>
    <row r="153" ht="12.75">
      <c r="A153" s="115">
        <f>ROW()</f>
        <v>153</v>
      </c>
    </row>
    <row r="154" ht="12.75">
      <c r="A154" s="115">
        <f>ROW()</f>
        <v>154</v>
      </c>
    </row>
    <row r="155" ht="12.75">
      <c r="A155" s="115">
        <f>ROW()</f>
        <v>155</v>
      </c>
    </row>
    <row r="156" ht="12.75">
      <c r="A156" s="115">
        <f>ROW()</f>
        <v>156</v>
      </c>
    </row>
    <row r="157" ht="12.75">
      <c r="A157" s="115">
        <f>ROW()</f>
        <v>157</v>
      </c>
    </row>
    <row r="158" ht="12.75">
      <c r="A158" s="115">
        <f>ROW()</f>
        <v>158</v>
      </c>
    </row>
    <row r="159" ht="12.75">
      <c r="A159" s="115">
        <f>ROW()</f>
        <v>159</v>
      </c>
    </row>
    <row r="160" ht="12.75">
      <c r="A160" s="115">
        <f>ROW()</f>
        <v>160</v>
      </c>
    </row>
    <row r="161" ht="12.75">
      <c r="A161" s="115">
        <f>ROW()</f>
        <v>161</v>
      </c>
    </row>
    <row r="162" ht="12.75">
      <c r="A162" s="115">
        <f>ROW()</f>
        <v>162</v>
      </c>
    </row>
    <row r="163" ht="12.75">
      <c r="A163" s="115">
        <f>ROW()</f>
        <v>163</v>
      </c>
    </row>
    <row r="164" ht="12.75">
      <c r="A164" s="115">
        <f>ROW()</f>
        <v>164</v>
      </c>
    </row>
    <row r="165" ht="12.75">
      <c r="A165" s="115">
        <f>ROW()</f>
        <v>165</v>
      </c>
    </row>
    <row r="166" ht="12.75">
      <c r="A166" s="115">
        <f>ROW()</f>
        <v>166</v>
      </c>
    </row>
    <row r="167" ht="12.75">
      <c r="A167" s="115">
        <f>ROW()</f>
        <v>167</v>
      </c>
    </row>
    <row r="168" ht="12.75">
      <c r="A168" s="115">
        <f>ROW()</f>
        <v>168</v>
      </c>
    </row>
    <row r="169" ht="12.75">
      <c r="A169" s="115">
        <f>ROW()</f>
        <v>169</v>
      </c>
    </row>
    <row r="170" ht="12.75">
      <c r="A170" s="115">
        <f>ROW()</f>
        <v>170</v>
      </c>
    </row>
    <row r="171" ht="12.75">
      <c r="A171" s="115">
        <f>ROW()</f>
        <v>171</v>
      </c>
    </row>
    <row r="172" ht="12.75">
      <c r="A172" s="115">
        <f>ROW()</f>
        <v>172</v>
      </c>
    </row>
    <row r="173" ht="12.75">
      <c r="A173" s="115">
        <f>ROW()</f>
        <v>173</v>
      </c>
    </row>
    <row r="174" ht="12.75">
      <c r="A174" s="115">
        <f>ROW()</f>
        <v>174</v>
      </c>
    </row>
    <row r="175" ht="12.75">
      <c r="A175" s="115">
        <f>ROW()</f>
        <v>175</v>
      </c>
    </row>
    <row r="176" ht="12.75">
      <c r="A176" s="115">
        <f>ROW()</f>
        <v>176</v>
      </c>
    </row>
    <row r="177" ht="12.75">
      <c r="A177" s="115">
        <f>ROW()</f>
        <v>177</v>
      </c>
    </row>
    <row r="178" ht="12.75">
      <c r="A178" s="115">
        <f>ROW()</f>
        <v>178</v>
      </c>
    </row>
    <row r="179" ht="12.75">
      <c r="A179" s="115">
        <f>ROW()</f>
        <v>179</v>
      </c>
    </row>
    <row r="180" ht="12.75">
      <c r="A180" s="115">
        <f>ROW()</f>
        <v>180</v>
      </c>
    </row>
    <row r="181" ht="12.75">
      <c r="A181" s="115">
        <f>ROW()</f>
        <v>181</v>
      </c>
    </row>
    <row r="182" ht="12.75">
      <c r="A182" s="115">
        <f>ROW()</f>
        <v>182</v>
      </c>
    </row>
    <row r="183" ht="12.75">
      <c r="A183" s="115">
        <f>ROW()</f>
        <v>183</v>
      </c>
    </row>
    <row r="184" ht="12.75">
      <c r="A184" s="115">
        <f>ROW()</f>
        <v>184</v>
      </c>
    </row>
    <row r="185" ht="12.75">
      <c r="A185" s="115">
        <f>ROW()</f>
        <v>185</v>
      </c>
    </row>
    <row r="186" ht="12.75">
      <c r="A186" s="115">
        <f>ROW()</f>
        <v>186</v>
      </c>
    </row>
    <row r="187" ht="12.75">
      <c r="A187" s="115">
        <f>ROW()</f>
        <v>187</v>
      </c>
    </row>
    <row r="188" ht="12.75">
      <c r="A188" s="115">
        <f>ROW()</f>
        <v>188</v>
      </c>
    </row>
    <row r="189" ht="12.75">
      <c r="A189" s="115">
        <f>ROW()</f>
        <v>189</v>
      </c>
    </row>
    <row r="190" ht="12.75">
      <c r="A190" s="115">
        <f>ROW()</f>
        <v>190</v>
      </c>
    </row>
    <row r="191" ht="12.75">
      <c r="A191" s="115">
        <f>ROW()</f>
        <v>191</v>
      </c>
    </row>
    <row r="192" ht="12.75">
      <c r="A192" s="115">
        <f>ROW()</f>
        <v>192</v>
      </c>
    </row>
    <row r="193" ht="12.75">
      <c r="A193" s="115">
        <f>ROW()</f>
        <v>193</v>
      </c>
    </row>
    <row r="194" ht="12.75">
      <c r="A194" s="115">
        <f>ROW()</f>
        <v>194</v>
      </c>
    </row>
    <row r="195" ht="12.75">
      <c r="A195" s="115">
        <f>ROW()</f>
        <v>195</v>
      </c>
    </row>
    <row r="196" ht="12.75">
      <c r="A196" s="115">
        <f>ROW()</f>
        <v>196</v>
      </c>
    </row>
    <row r="197" ht="12.75">
      <c r="A197" s="115">
        <f>ROW()</f>
        <v>197</v>
      </c>
    </row>
    <row r="198" ht="12.75">
      <c r="A198" s="115">
        <f>ROW()</f>
        <v>198</v>
      </c>
    </row>
    <row r="199" ht="12.75">
      <c r="A199" s="115">
        <f>ROW()</f>
        <v>199</v>
      </c>
    </row>
    <row r="200" ht="12.75">
      <c r="A200" s="115">
        <f>ROW()</f>
        <v>200</v>
      </c>
    </row>
    <row r="201" ht="12.75">
      <c r="A201" s="115">
        <f>ROW()</f>
        <v>201</v>
      </c>
    </row>
    <row r="202" ht="12.75">
      <c r="A202" s="115">
        <f>ROW()</f>
        <v>202</v>
      </c>
    </row>
    <row r="203" ht="12.75">
      <c r="A203" s="115">
        <f>ROW()</f>
        <v>203</v>
      </c>
    </row>
    <row r="204" ht="12.75">
      <c r="A204" s="115">
        <f>ROW()</f>
        <v>204</v>
      </c>
    </row>
    <row r="205" ht="12.75">
      <c r="A205" s="115">
        <f>ROW()</f>
        <v>205</v>
      </c>
    </row>
    <row r="206" ht="12.75">
      <c r="A206" s="115">
        <f>ROW()</f>
        <v>206</v>
      </c>
    </row>
    <row r="207" ht="12.75">
      <c r="A207" s="115">
        <f>ROW()</f>
        <v>207</v>
      </c>
    </row>
    <row r="208" ht="12.75">
      <c r="A208" s="115">
        <f>ROW()</f>
        <v>208</v>
      </c>
    </row>
    <row r="209" ht="12.75">
      <c r="A209" s="115">
        <f>ROW()</f>
        <v>209</v>
      </c>
    </row>
    <row r="210" ht="12.75">
      <c r="A210" s="115">
        <f>ROW()</f>
        <v>210</v>
      </c>
    </row>
    <row r="211" ht="12.75">
      <c r="A211" s="115">
        <f>ROW()</f>
        <v>211</v>
      </c>
    </row>
    <row r="212" ht="12.75">
      <c r="A212" s="115">
        <f>ROW()</f>
        <v>212</v>
      </c>
    </row>
    <row r="213" ht="12.75">
      <c r="A213" s="115">
        <f>ROW()</f>
        <v>213</v>
      </c>
    </row>
    <row r="214" ht="12.75">
      <c r="A214" s="115">
        <f>ROW()</f>
        <v>214</v>
      </c>
    </row>
    <row r="215" ht="12.75">
      <c r="A215" s="115">
        <f>ROW()</f>
        <v>215</v>
      </c>
    </row>
    <row r="216" ht="12.75">
      <c r="A216" s="115">
        <f>ROW()</f>
        <v>216</v>
      </c>
    </row>
    <row r="217" ht="12.75">
      <c r="A217" s="115">
        <f>ROW()</f>
        <v>217</v>
      </c>
    </row>
    <row r="218" ht="12.75">
      <c r="A218" s="115">
        <f>ROW()</f>
        <v>218</v>
      </c>
    </row>
    <row r="219" ht="12.75">
      <c r="A219" s="115">
        <f>ROW()</f>
        <v>219</v>
      </c>
    </row>
    <row r="220" ht="12.75">
      <c r="A220" s="115">
        <f>ROW()</f>
        <v>220</v>
      </c>
    </row>
    <row r="221" ht="12.75">
      <c r="A221" s="115">
        <f>ROW()</f>
        <v>221</v>
      </c>
    </row>
    <row r="222" ht="12.75">
      <c r="A222" s="115">
        <f>ROW()</f>
        <v>222</v>
      </c>
    </row>
    <row r="223" ht="12.75">
      <c r="A223" s="115">
        <f>ROW()</f>
        <v>223</v>
      </c>
    </row>
    <row r="224" ht="12.75">
      <c r="A224" s="115">
        <f>ROW()</f>
        <v>224</v>
      </c>
    </row>
    <row r="225" ht="12.75">
      <c r="A225" s="115">
        <f>ROW()</f>
        <v>225</v>
      </c>
    </row>
    <row r="226" ht="12.75">
      <c r="A226" s="115">
        <f>ROW()</f>
        <v>226</v>
      </c>
    </row>
    <row r="227" ht="12.75">
      <c r="A227" s="115">
        <f>ROW()</f>
        <v>227</v>
      </c>
    </row>
    <row r="228" ht="12.75">
      <c r="A228" s="115">
        <f>ROW()</f>
        <v>228</v>
      </c>
    </row>
    <row r="229" ht="12.75">
      <c r="A229" s="115">
        <f>ROW()</f>
        <v>229</v>
      </c>
    </row>
    <row r="230" ht="12.75">
      <c r="A230" s="115">
        <f>ROW()</f>
        <v>230</v>
      </c>
    </row>
    <row r="231" ht="12.75">
      <c r="A231" s="115">
        <f>ROW()</f>
        <v>231</v>
      </c>
    </row>
    <row r="232" ht="12.75">
      <c r="A232" s="115">
        <f>ROW()</f>
        <v>232</v>
      </c>
    </row>
    <row r="233" ht="12.75">
      <c r="A233" s="115">
        <f>ROW()</f>
        <v>233</v>
      </c>
    </row>
    <row r="234" ht="12.75">
      <c r="A234" s="115">
        <f>ROW()</f>
        <v>234</v>
      </c>
    </row>
    <row r="235" ht="12.75">
      <c r="A235" s="115">
        <f>ROW()</f>
        <v>235</v>
      </c>
    </row>
    <row r="236" ht="12.75">
      <c r="A236" s="115">
        <f>ROW()</f>
        <v>236</v>
      </c>
    </row>
    <row r="237" ht="12.75">
      <c r="A237" s="115">
        <f>ROW()</f>
        <v>237</v>
      </c>
    </row>
    <row r="238" ht="12.75">
      <c r="A238" s="115">
        <f>ROW()</f>
        <v>238</v>
      </c>
    </row>
    <row r="239" ht="12.75">
      <c r="A239" s="115">
        <f>ROW()</f>
        <v>239</v>
      </c>
    </row>
    <row r="240" ht="12.75">
      <c r="A240" s="115">
        <f>ROW()</f>
        <v>240</v>
      </c>
    </row>
    <row r="241" ht="12.75">
      <c r="A241" s="115">
        <f>ROW()</f>
        <v>241</v>
      </c>
    </row>
    <row r="242" ht="12.75">
      <c r="A242" s="115">
        <f>ROW()</f>
        <v>242</v>
      </c>
    </row>
    <row r="243" ht="12.75">
      <c r="A243" s="115">
        <f>ROW()</f>
        <v>243</v>
      </c>
    </row>
    <row r="244" ht="12.75">
      <c r="A244" s="115">
        <f>ROW()</f>
        <v>244</v>
      </c>
    </row>
    <row r="245" ht="12.75">
      <c r="A245" s="115">
        <f>ROW()</f>
        <v>245</v>
      </c>
    </row>
    <row r="246" ht="12.75">
      <c r="A246" s="115">
        <f>ROW()</f>
        <v>246</v>
      </c>
    </row>
    <row r="247" ht="12.75">
      <c r="A247" s="115">
        <f>ROW()</f>
        <v>247</v>
      </c>
    </row>
    <row r="248" ht="12.75">
      <c r="A248" s="115">
        <f>ROW()</f>
        <v>248</v>
      </c>
    </row>
    <row r="249" ht="12.75">
      <c r="A249" s="115">
        <f>ROW()</f>
        <v>249</v>
      </c>
    </row>
    <row r="250" ht="12.75">
      <c r="A250" s="115">
        <f>ROW()</f>
        <v>250</v>
      </c>
    </row>
    <row r="251" ht="12.75">
      <c r="A251" s="115">
        <f>ROW()</f>
        <v>251</v>
      </c>
    </row>
    <row r="252" ht="12.75">
      <c r="A252" s="115">
        <f>ROW()</f>
        <v>252</v>
      </c>
    </row>
    <row r="253" ht="12.75">
      <c r="A253" s="115">
        <f>ROW()</f>
        <v>253</v>
      </c>
    </row>
    <row r="254" ht="12.75">
      <c r="A254" s="115">
        <f>ROW()</f>
        <v>254</v>
      </c>
    </row>
    <row r="255" ht="12.75">
      <c r="A255" s="115">
        <f>ROW()</f>
        <v>255</v>
      </c>
    </row>
    <row r="256" ht="12.75">
      <c r="A256" s="115">
        <f>ROW()</f>
        <v>256</v>
      </c>
    </row>
    <row r="257" ht="12.75">
      <c r="A257" s="115">
        <f>ROW()</f>
        <v>257</v>
      </c>
    </row>
    <row r="258" ht="12.75">
      <c r="A258" s="115">
        <f>ROW()</f>
        <v>258</v>
      </c>
    </row>
    <row r="259" ht="12.75">
      <c r="A259" s="115">
        <f>ROW()</f>
        <v>259</v>
      </c>
    </row>
    <row r="260" ht="12.75">
      <c r="A260" s="115">
        <f>ROW()</f>
        <v>260</v>
      </c>
    </row>
    <row r="261" ht="12.75">
      <c r="A261" s="115">
        <f>ROW()</f>
        <v>261</v>
      </c>
    </row>
    <row r="262" ht="12.75">
      <c r="A262" s="115">
        <f>ROW()</f>
        <v>262</v>
      </c>
    </row>
    <row r="263" ht="12.75">
      <c r="A263" s="115">
        <f>ROW()</f>
        <v>263</v>
      </c>
    </row>
    <row r="264" ht="12.75">
      <c r="A264" s="115">
        <f>ROW()</f>
        <v>264</v>
      </c>
    </row>
    <row r="265" ht="12.75">
      <c r="A265" s="115">
        <f>ROW()</f>
        <v>265</v>
      </c>
    </row>
    <row r="266" ht="12.75">
      <c r="A266" s="115">
        <f>ROW()</f>
        <v>266</v>
      </c>
    </row>
    <row r="267" ht="12.75">
      <c r="A267" s="115">
        <f>ROW()</f>
        <v>267</v>
      </c>
    </row>
    <row r="268" ht="12.75">
      <c r="A268" s="115">
        <f>ROW()</f>
        <v>268</v>
      </c>
    </row>
    <row r="269" ht="12.75">
      <c r="A269" s="115">
        <f>ROW()</f>
        <v>269</v>
      </c>
    </row>
    <row r="270" ht="12.75">
      <c r="A270" s="115">
        <f>ROW()</f>
        <v>270</v>
      </c>
    </row>
    <row r="271" ht="12.75">
      <c r="A271" s="115">
        <f>ROW()</f>
        <v>271</v>
      </c>
    </row>
    <row r="272" ht="12.75">
      <c r="A272" s="115">
        <f>ROW()</f>
        <v>272</v>
      </c>
    </row>
    <row r="273" ht="12.75">
      <c r="A273" s="115">
        <f>ROW()</f>
        <v>273</v>
      </c>
    </row>
    <row r="274" ht="12.75">
      <c r="A274" s="115">
        <f>ROW()</f>
        <v>274</v>
      </c>
    </row>
    <row r="275" ht="12.75">
      <c r="A275" s="115">
        <f>ROW()</f>
        <v>275</v>
      </c>
    </row>
    <row r="276" ht="12.75">
      <c r="A276" s="115">
        <f>ROW()</f>
        <v>276</v>
      </c>
    </row>
    <row r="277" ht="12.75">
      <c r="A277" s="115">
        <f>ROW()</f>
        <v>277</v>
      </c>
    </row>
    <row r="278" ht="12.75">
      <c r="A278" s="115">
        <f>ROW()</f>
        <v>278</v>
      </c>
    </row>
    <row r="279" ht="12.75">
      <c r="A279" s="115">
        <f>ROW()</f>
        <v>279</v>
      </c>
    </row>
    <row r="280" ht="12.75">
      <c r="A280" s="115">
        <f>ROW()</f>
        <v>280</v>
      </c>
    </row>
    <row r="281" ht="12.75">
      <c r="A281" s="115">
        <f>ROW()</f>
        <v>281</v>
      </c>
    </row>
    <row r="282" ht="12.75">
      <c r="A282" s="115">
        <f>ROW()</f>
        <v>282</v>
      </c>
    </row>
    <row r="283" ht="12.75">
      <c r="A283" s="115">
        <f>ROW()</f>
        <v>283</v>
      </c>
    </row>
    <row r="284" ht="12.75">
      <c r="A284" s="115">
        <f>ROW()</f>
        <v>284</v>
      </c>
    </row>
    <row r="285" ht="12.75">
      <c r="A285" s="115">
        <f>ROW()</f>
        <v>285</v>
      </c>
    </row>
    <row r="286" ht="12.75">
      <c r="A286" s="115">
        <f>ROW()</f>
        <v>286</v>
      </c>
    </row>
    <row r="287" ht="12.75">
      <c r="A287" s="115">
        <f>ROW()</f>
        <v>287</v>
      </c>
    </row>
    <row r="288" ht="12.75">
      <c r="A288" s="115">
        <f>ROW()</f>
        <v>288</v>
      </c>
    </row>
    <row r="289" ht="12.75">
      <c r="A289" s="115">
        <f>ROW()</f>
        <v>289</v>
      </c>
    </row>
    <row r="290" ht="12.75">
      <c r="A290" s="115">
        <f>ROW()</f>
        <v>290</v>
      </c>
    </row>
    <row r="291" ht="12.75">
      <c r="A291" s="115">
        <f>ROW()</f>
        <v>291</v>
      </c>
    </row>
    <row r="292" ht="12.75">
      <c r="A292" s="115">
        <f>ROW()</f>
        <v>292</v>
      </c>
    </row>
    <row r="293" ht="12.75">
      <c r="A293" s="115">
        <f>ROW()</f>
        <v>293</v>
      </c>
    </row>
    <row r="294" ht="12.75">
      <c r="A294" s="115">
        <f>ROW()</f>
        <v>294</v>
      </c>
    </row>
    <row r="295" ht="12.75">
      <c r="A295" s="115">
        <f>ROW()</f>
        <v>295</v>
      </c>
    </row>
    <row r="296" ht="12.75">
      <c r="A296" s="115">
        <f>ROW()</f>
        <v>296</v>
      </c>
    </row>
    <row r="297" ht="12.75">
      <c r="A297" s="115">
        <f>ROW()</f>
        <v>297</v>
      </c>
    </row>
    <row r="298" ht="12.75">
      <c r="A298" s="115">
        <f>ROW()</f>
        <v>298</v>
      </c>
    </row>
    <row r="299" ht="12.75">
      <c r="A299" s="115">
        <f>ROW()</f>
        <v>299</v>
      </c>
    </row>
    <row r="300" ht="12.75">
      <c r="A300" s="115">
        <f>ROW()</f>
        <v>300</v>
      </c>
    </row>
    <row r="301" ht="12.75">
      <c r="A301" s="115">
        <f>ROW()</f>
        <v>301</v>
      </c>
    </row>
    <row r="302" ht="12.75">
      <c r="A302" s="115">
        <f>ROW()</f>
        <v>302</v>
      </c>
    </row>
    <row r="303" ht="12.75">
      <c r="A303" s="115">
        <f>ROW()</f>
        <v>303</v>
      </c>
    </row>
    <row r="304" ht="12.75">
      <c r="A304" s="115">
        <f>ROW()</f>
        <v>304</v>
      </c>
    </row>
    <row r="305" ht="12.75">
      <c r="A305" s="115">
        <f>ROW()</f>
        <v>305</v>
      </c>
    </row>
    <row r="306" ht="12.75">
      <c r="A306" s="115">
        <f>ROW()</f>
        <v>306</v>
      </c>
    </row>
    <row r="307" ht="12.75">
      <c r="A307" s="115">
        <f>ROW()</f>
        <v>307</v>
      </c>
    </row>
    <row r="308" ht="12.75">
      <c r="A308" s="115">
        <f>ROW()</f>
        <v>308</v>
      </c>
    </row>
    <row r="309" ht="12.75">
      <c r="A309" s="115">
        <f>ROW()</f>
        <v>309</v>
      </c>
    </row>
    <row r="310" ht="12.75">
      <c r="A310" s="115">
        <f>ROW()</f>
        <v>310</v>
      </c>
    </row>
    <row r="311" ht="12.75">
      <c r="A311" s="115">
        <f>ROW()</f>
        <v>311</v>
      </c>
    </row>
    <row r="312" ht="12.75">
      <c r="A312" s="115">
        <f>ROW()</f>
        <v>312</v>
      </c>
    </row>
    <row r="313" ht="12.75">
      <c r="A313" s="115">
        <f>ROW()</f>
        <v>313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310"/>
  <sheetViews>
    <sheetView showGridLines="0" zoomScale="75" zoomScaleNormal="75" zoomScalePageLayoutView="0" workbookViewId="0" topLeftCell="A1">
      <pane xSplit="2" ySplit="2" topLeftCell="C12" activePane="bottomRight" state="frozen"/>
      <selection pane="topLeft" activeCell="N53" sqref="N53"/>
      <selection pane="topRight" activeCell="N53" sqref="N53"/>
      <selection pane="bottomLeft" activeCell="N53" sqref="N53"/>
      <selection pane="bottomRight" activeCell="I68" sqref="I68"/>
    </sheetView>
  </sheetViews>
  <sheetFormatPr defaultColWidth="9.140625" defaultRowHeight="12.75"/>
  <cols>
    <col min="1" max="1" width="4.00390625" style="0" bestFit="1" customWidth="1"/>
    <col min="2" max="2" width="34.7109375" style="85" customWidth="1"/>
    <col min="3" max="3" width="12.8515625" style="0" customWidth="1"/>
    <col min="4" max="4" width="12.8515625" style="10" customWidth="1"/>
    <col min="5" max="5" width="11.140625" style="10" customWidth="1"/>
    <col min="6" max="6" width="12.421875" style="0" customWidth="1"/>
    <col min="7" max="7" width="9.421875" style="0" bestFit="1" customWidth="1"/>
    <col min="8" max="10" width="9.28125" style="0" bestFit="1" customWidth="1"/>
    <col min="11" max="11" width="15.28125" style="0" customWidth="1"/>
    <col min="12" max="12" width="10.421875" style="0" bestFit="1" customWidth="1"/>
    <col min="13" max="13" width="10.57421875" style="0" bestFit="1" customWidth="1"/>
    <col min="14" max="14" width="11.140625" style="0" bestFit="1" customWidth="1"/>
    <col min="15" max="16" width="12.00390625" style="0" customWidth="1"/>
    <col min="17" max="17" width="14.140625" style="0" bestFit="1" customWidth="1"/>
    <col min="18" max="18" width="17.00390625" style="0" bestFit="1" customWidth="1"/>
    <col min="19" max="20" width="13.00390625" style="0" bestFit="1" customWidth="1"/>
    <col min="21" max="22" width="11.28125" style="0" bestFit="1" customWidth="1"/>
    <col min="23" max="23" width="9.28125" style="0" bestFit="1" customWidth="1"/>
  </cols>
  <sheetData>
    <row r="1" spans="1:2" s="113" customFormat="1" ht="15">
      <c r="A1" s="111"/>
      <c r="B1" s="112" t="s">
        <v>58</v>
      </c>
    </row>
    <row r="2" spans="1:22" ht="12.75">
      <c r="A2" s="115">
        <f>ROW()</f>
        <v>2</v>
      </c>
      <c r="F2" s="1">
        <v>1999</v>
      </c>
      <c r="G2" s="1">
        <v>2000</v>
      </c>
      <c r="H2" s="1">
        <v>2001</v>
      </c>
      <c r="I2" s="1">
        <v>2002</v>
      </c>
      <c r="J2" s="1">
        <v>2003</v>
      </c>
      <c r="K2" s="1">
        <v>2004</v>
      </c>
      <c r="L2" s="1">
        <v>2005</v>
      </c>
      <c r="M2" s="1">
        <v>2006</v>
      </c>
      <c r="N2" s="1">
        <v>2007</v>
      </c>
      <c r="O2" s="1">
        <v>2008</v>
      </c>
      <c r="P2" s="1">
        <v>2009</v>
      </c>
      <c r="Q2" s="1">
        <v>2010</v>
      </c>
      <c r="R2" s="1">
        <v>2011</v>
      </c>
      <c r="S2" s="1">
        <v>2012</v>
      </c>
      <c r="T2" s="1">
        <v>2013</v>
      </c>
      <c r="U2" s="1">
        <v>2014</v>
      </c>
      <c r="V2" s="1">
        <v>2015</v>
      </c>
    </row>
    <row r="3" spans="1:2" ht="6" customHeight="1">
      <c r="A3" s="115">
        <f>ROW()</f>
        <v>3</v>
      </c>
      <c r="B3" s="11"/>
    </row>
    <row r="4" spans="1:22" ht="12.75">
      <c r="A4" s="115">
        <f>ROW()</f>
        <v>4</v>
      </c>
      <c r="B4" s="86" t="s">
        <v>10</v>
      </c>
      <c r="C4" s="61">
        <f>Summary!E3</f>
        <v>0.10027159152634435</v>
      </c>
      <c r="E4" s="2" t="s">
        <v>9</v>
      </c>
      <c r="F4" s="7">
        <v>122.7</v>
      </c>
      <c r="G4" s="7">
        <v>128.8</v>
      </c>
      <c r="H4" s="7">
        <v>132.6</v>
      </c>
      <c r="I4" s="7">
        <v>136.4</v>
      </c>
      <c r="J4" s="7">
        <v>139.2</v>
      </c>
      <c r="K4" s="7">
        <v>143.3</v>
      </c>
      <c r="L4" s="7">
        <v>149</v>
      </c>
      <c r="M4" s="7">
        <v>155.5</v>
      </c>
      <c r="N4" s="7">
        <v>160.2</v>
      </c>
      <c r="O4" s="7">
        <v>166.2</v>
      </c>
      <c r="P4" s="7">
        <v>169.7</v>
      </c>
      <c r="Q4" s="7">
        <v>174.1</v>
      </c>
      <c r="R4" s="12">
        <f>Q4*(1+R5)</f>
        <v>178.57437000000002</v>
      </c>
      <c r="S4" s="12">
        <f>R4*(1+S5)</f>
        <v>183.163731309</v>
      </c>
      <c r="T4" s="12">
        <f>S4*(1+T5)</f>
        <v>187.87103920364132</v>
      </c>
      <c r="U4" s="12">
        <f>T4*(1+U5)</f>
        <v>192.6993249111749</v>
      </c>
      <c r="V4" s="12">
        <f>U4*(1+V5)</f>
        <v>197.6516975613921</v>
      </c>
    </row>
    <row r="5" spans="1:22" ht="12.75">
      <c r="A5" s="115">
        <f>ROW()</f>
        <v>5</v>
      </c>
      <c r="G5" s="8">
        <f aca="true" t="shared" si="0" ref="G5:Q5">G4/F4-1</f>
        <v>0.04971475142624304</v>
      </c>
      <c r="H5" s="8">
        <f t="shared" si="0"/>
        <v>0.029503105590062084</v>
      </c>
      <c r="I5" s="8">
        <f t="shared" si="0"/>
        <v>0.02865761689291113</v>
      </c>
      <c r="J5" s="8">
        <f t="shared" si="0"/>
        <v>0.02052785923753664</v>
      </c>
      <c r="K5" s="8">
        <f t="shared" si="0"/>
        <v>0.029454022988505857</v>
      </c>
      <c r="L5" s="8">
        <f t="shared" si="0"/>
        <v>0.03977669225401237</v>
      </c>
      <c r="M5" s="8">
        <f t="shared" si="0"/>
        <v>0.043624161073825496</v>
      </c>
      <c r="N5" s="8">
        <f t="shared" si="0"/>
        <v>0.03022508038585192</v>
      </c>
      <c r="O5" s="8">
        <f t="shared" si="0"/>
        <v>0.03745318352059934</v>
      </c>
      <c r="P5" s="8">
        <f t="shared" si="0"/>
        <v>0.02105896510228633</v>
      </c>
      <c r="Q5" s="8">
        <f t="shared" si="0"/>
        <v>0.025928108426635177</v>
      </c>
      <c r="R5" s="84">
        <v>0.0257</v>
      </c>
      <c r="S5" s="84">
        <v>0.0257</v>
      </c>
      <c r="T5" s="84">
        <v>0.0257</v>
      </c>
      <c r="U5" s="84">
        <v>0.0257</v>
      </c>
      <c r="V5" s="84">
        <v>0.0257</v>
      </c>
    </row>
    <row r="6" ht="13.5" thickBot="1">
      <c r="A6" s="115">
        <f>ROW()</f>
        <v>6</v>
      </c>
    </row>
    <row r="7" spans="1:22" ht="26.25">
      <c r="A7" s="115">
        <f>ROW()</f>
        <v>7</v>
      </c>
      <c r="B7" s="87" t="s">
        <v>36</v>
      </c>
      <c r="C7" s="64"/>
      <c r="D7" s="91"/>
      <c r="E7" s="91"/>
      <c r="F7" s="45"/>
      <c r="G7" s="45"/>
      <c r="H7" s="45"/>
      <c r="I7" s="45"/>
      <c r="J7" s="45"/>
      <c r="K7" s="45"/>
      <c r="L7" s="126"/>
      <c r="M7" s="126"/>
      <c r="N7" s="126"/>
      <c r="O7" s="126"/>
      <c r="P7" s="126"/>
      <c r="Q7" s="126"/>
      <c r="R7" s="45"/>
      <c r="S7" s="45"/>
      <c r="T7" s="45"/>
      <c r="U7" s="45"/>
      <c r="V7" s="45"/>
    </row>
    <row r="8" spans="1:22" ht="12.75">
      <c r="A8" s="115">
        <f>ROW()</f>
        <v>8</v>
      </c>
      <c r="B8" s="89" t="s">
        <v>23</v>
      </c>
      <c r="E8" s="105" t="s">
        <v>39</v>
      </c>
      <c r="F8" s="94">
        <v>1999</v>
      </c>
      <c r="G8" s="94">
        <v>2000</v>
      </c>
      <c r="H8" s="94">
        <v>2001</v>
      </c>
      <c r="I8" s="94">
        <v>2002</v>
      </c>
      <c r="J8" s="94">
        <v>2003</v>
      </c>
      <c r="K8" s="94">
        <v>2004</v>
      </c>
      <c r="L8" s="94">
        <v>2005</v>
      </c>
      <c r="M8" s="94">
        <v>2006</v>
      </c>
      <c r="N8" s="94">
        <v>2007</v>
      </c>
      <c r="O8" s="94">
        <v>2008</v>
      </c>
      <c r="P8" s="94">
        <v>2009</v>
      </c>
      <c r="Q8" s="94">
        <v>2010</v>
      </c>
      <c r="R8" s="94">
        <v>2011</v>
      </c>
      <c r="S8" s="94">
        <v>2012</v>
      </c>
      <c r="T8" s="94">
        <v>2013</v>
      </c>
      <c r="U8" s="94">
        <v>2014</v>
      </c>
      <c r="V8" s="94">
        <v>2015</v>
      </c>
    </row>
    <row r="9" spans="1:22" ht="12.75">
      <c r="A9" s="115">
        <f>ROW()</f>
        <v>9</v>
      </c>
      <c r="B9" s="89"/>
      <c r="E9" s="5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7" ht="12.75">
      <c r="A10" s="115">
        <f>ROW()</f>
        <v>10</v>
      </c>
      <c r="B10" s="89" t="s">
        <v>11</v>
      </c>
      <c r="E10" s="56"/>
      <c r="F10" s="98">
        <v>1263.1466763899991</v>
      </c>
      <c r="G10" s="98">
        <v>1.3878405999999999</v>
      </c>
      <c r="H10" s="98">
        <v>0.0300965</v>
      </c>
      <c r="I10" s="98">
        <v>0.0639393</v>
      </c>
      <c r="J10" s="98">
        <v>2.114E-05</v>
      </c>
      <c r="K10" s="98">
        <v>0.621227</v>
      </c>
      <c r="L10" s="98">
        <v>7.43360348</v>
      </c>
      <c r="M10" s="98">
        <v>229.88054288999996</v>
      </c>
      <c r="N10" s="98">
        <v>1.1463872</v>
      </c>
      <c r="O10" s="98">
        <v>493.54175513999996</v>
      </c>
      <c r="P10" s="98">
        <v>0</v>
      </c>
      <c r="Q10" s="98">
        <v>489.95989998000005</v>
      </c>
      <c r="R10" s="98">
        <v>13.354908259967221</v>
      </c>
      <c r="S10" s="98">
        <v>4.155638935500001</v>
      </c>
      <c r="T10" s="98">
        <v>4.591563881743215</v>
      </c>
      <c r="U10" s="98">
        <v>0.6807012338907098</v>
      </c>
      <c r="V10" s="98">
        <v>0.9252506232770508</v>
      </c>
      <c r="AA10" s="205"/>
    </row>
    <row r="11" spans="1:27" ht="12.75">
      <c r="A11" s="115">
        <f>ROW()</f>
        <v>11</v>
      </c>
      <c r="B11" s="89" t="s">
        <v>16</v>
      </c>
      <c r="E11" s="56"/>
      <c r="F11" s="98">
        <v>211.6036807782983</v>
      </c>
      <c r="G11" s="98">
        <v>-1.99600405850122</v>
      </c>
      <c r="H11" s="98">
        <v>1.32699473</v>
      </c>
      <c r="I11" s="98">
        <v>0.08331516</v>
      </c>
      <c r="J11" s="98">
        <v>-0.11479787999999999</v>
      </c>
      <c r="K11" s="98">
        <v>0.18346781999999998</v>
      </c>
      <c r="L11" s="98">
        <v>41.21632278</v>
      </c>
      <c r="M11" s="98">
        <v>153.70189397999997</v>
      </c>
      <c r="N11" s="98">
        <v>0.13571847999999997</v>
      </c>
      <c r="O11" s="98">
        <v>126.82707395999999</v>
      </c>
      <c r="P11" s="98">
        <v>0</v>
      </c>
      <c r="Q11" s="98">
        <v>52.260917140000004</v>
      </c>
      <c r="R11" s="98">
        <v>37.4469299146506</v>
      </c>
      <c r="S11" s="98">
        <v>7.651320325623002</v>
      </c>
      <c r="T11" s="98">
        <v>2.97831170707668</v>
      </c>
      <c r="U11" s="98">
        <v>3.873909461166641</v>
      </c>
      <c r="V11" s="98">
        <v>7.595002048740454</v>
      </c>
      <c r="AA11" s="205"/>
    </row>
    <row r="12" spans="1:27" ht="12.75">
      <c r="A12" s="115">
        <f>ROW()</f>
        <v>12</v>
      </c>
      <c r="B12" s="89" t="s">
        <v>17</v>
      </c>
      <c r="E12" s="56"/>
      <c r="F12" s="98">
        <v>17.353155850315368</v>
      </c>
      <c r="G12" s="98">
        <v>0.5716931999999999</v>
      </c>
      <c r="H12" s="98">
        <v>0.53963425</v>
      </c>
      <c r="I12" s="98">
        <v>0.35796585</v>
      </c>
      <c r="J12" s="98">
        <v>-0.03176719</v>
      </c>
      <c r="K12" s="98">
        <v>1.67052628</v>
      </c>
      <c r="L12" s="98">
        <v>0</v>
      </c>
      <c r="M12" s="98">
        <v>0</v>
      </c>
      <c r="N12" s="98">
        <v>0</v>
      </c>
      <c r="O12" s="98">
        <v>0</v>
      </c>
      <c r="P12" s="98">
        <v>0.07617976</v>
      </c>
      <c r="Q12" s="98">
        <v>4.75553671</v>
      </c>
      <c r="R12" s="98">
        <v>32.910408927541894</v>
      </c>
      <c r="S12" s="98">
        <v>0.5105649557970001</v>
      </c>
      <c r="T12" s="98">
        <v>2.865006370394415</v>
      </c>
      <c r="U12" s="98">
        <v>2.938637034113552</v>
      </c>
      <c r="V12" s="98">
        <v>0.17596790994839617</v>
      </c>
      <c r="AA12" s="205"/>
    </row>
    <row r="13" spans="1:27" ht="12.75">
      <c r="A13" s="115">
        <f>ROW()</f>
        <v>13</v>
      </c>
      <c r="B13" s="89" t="s">
        <v>18</v>
      </c>
      <c r="E13" s="56"/>
      <c r="F13" s="98">
        <v>47.65823764138707</v>
      </c>
      <c r="G13" s="98">
        <v>5.095968500000001</v>
      </c>
      <c r="H13" s="98">
        <v>1.37068648</v>
      </c>
      <c r="I13" s="98">
        <v>0.7500320300000001</v>
      </c>
      <c r="J13" s="98">
        <v>0.9204955300000001</v>
      </c>
      <c r="K13" s="98">
        <v>0.9014843100000002</v>
      </c>
      <c r="L13" s="98">
        <v>3.5204673699999995</v>
      </c>
      <c r="M13" s="98">
        <v>0.7854980600000001</v>
      </c>
      <c r="N13" s="98">
        <v>2.14948774</v>
      </c>
      <c r="O13" s="98">
        <v>5.6331739800000005</v>
      </c>
      <c r="P13" s="98">
        <v>0.5442926000000001</v>
      </c>
      <c r="Q13" s="98">
        <v>75.31545632000004</v>
      </c>
      <c r="R13" s="98">
        <v>77.03444241611828</v>
      </c>
      <c r="S13" s="98">
        <v>4.9920270250500005</v>
      </c>
      <c r="T13" s="98">
        <v>4.483654037283916</v>
      </c>
      <c r="U13" s="98">
        <v>7.476645260051617</v>
      </c>
      <c r="V13" s="98">
        <v>6.987628940208894</v>
      </c>
      <c r="AA13" s="205"/>
    </row>
    <row r="14" spans="1:22" ht="12.75">
      <c r="A14" s="115">
        <f>ROW()</f>
        <v>14</v>
      </c>
      <c r="B14" s="89" t="s">
        <v>19</v>
      </c>
      <c r="E14" s="56"/>
      <c r="F14" s="98">
        <v>10.238249340000001</v>
      </c>
      <c r="G14" s="98"/>
      <c r="H14" s="98"/>
      <c r="I14" s="98"/>
      <c r="J14" s="98"/>
      <c r="K14" s="98"/>
      <c r="L14" s="98"/>
      <c r="M14" s="98">
        <v>-0.11984469</v>
      </c>
      <c r="N14" s="98">
        <v>1.7943513999999998</v>
      </c>
      <c r="O14" s="98">
        <v>1.4154523300000001</v>
      </c>
      <c r="P14" s="98">
        <v>0.66129321</v>
      </c>
      <c r="Q14" s="98">
        <v>0.66606215</v>
      </c>
      <c r="R14" s="98"/>
      <c r="S14" s="98"/>
      <c r="T14" s="98"/>
      <c r="U14" s="98"/>
      <c r="V14" s="98"/>
    </row>
    <row r="15" spans="1:22" ht="13.5" thickBot="1">
      <c r="A15" s="115">
        <f>ROW()</f>
        <v>15</v>
      </c>
      <c r="B15" s="100" t="s">
        <v>20</v>
      </c>
      <c r="C15" s="49"/>
      <c r="D15" s="83"/>
      <c r="E15" s="83"/>
      <c r="F15" s="101">
        <f aca="true" t="shared" si="1" ref="F15:V15">SUM(F10:F14)</f>
        <v>1549.9999999999998</v>
      </c>
      <c r="G15" s="101">
        <f t="shared" si="1"/>
        <v>5.059498241498781</v>
      </c>
      <c r="H15" s="101">
        <f t="shared" si="1"/>
        <v>3.26741196</v>
      </c>
      <c r="I15" s="101">
        <f t="shared" si="1"/>
        <v>1.2552523400000002</v>
      </c>
      <c r="J15" s="101">
        <f t="shared" si="1"/>
        <v>0.7739516000000001</v>
      </c>
      <c r="K15" s="101">
        <f t="shared" si="1"/>
        <v>3.37670541</v>
      </c>
      <c r="L15" s="101">
        <f t="shared" si="1"/>
        <v>52.17039363</v>
      </c>
      <c r="M15" s="101">
        <f t="shared" si="1"/>
        <v>384.24809023999995</v>
      </c>
      <c r="N15" s="101">
        <f t="shared" si="1"/>
        <v>5.22594482</v>
      </c>
      <c r="O15" s="101">
        <f t="shared" si="1"/>
        <v>627.41745541</v>
      </c>
      <c r="P15" s="101">
        <f t="shared" si="1"/>
        <v>1.2817655700000001</v>
      </c>
      <c r="Q15" s="101">
        <f t="shared" si="1"/>
        <v>622.9578723000001</v>
      </c>
      <c r="R15" s="101">
        <f t="shared" si="1"/>
        <v>160.746689518278</v>
      </c>
      <c r="S15" s="101">
        <f t="shared" si="1"/>
        <v>17.309551241970002</v>
      </c>
      <c r="T15" s="101">
        <f t="shared" si="1"/>
        <v>14.918535996498226</v>
      </c>
      <c r="U15" s="101">
        <f t="shared" si="1"/>
        <v>14.969892989222519</v>
      </c>
      <c r="V15" s="101">
        <f t="shared" si="1"/>
        <v>15.683849522174796</v>
      </c>
    </row>
    <row r="16" spans="1:22" ht="13.5" thickBot="1">
      <c r="A16" s="115">
        <f>ROW()</f>
        <v>16</v>
      </c>
      <c r="B16" s="118"/>
      <c r="C16" s="28"/>
      <c r="D16" s="56"/>
      <c r="E16" s="56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</row>
    <row r="17" spans="1:22" ht="26.25">
      <c r="A17" s="115">
        <f>ROW()</f>
        <v>17</v>
      </c>
      <c r="B17" s="87" t="s">
        <v>53</v>
      </c>
      <c r="C17" s="45"/>
      <c r="D17" s="77"/>
      <c r="E17" s="77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</row>
    <row r="18" spans="1:22" ht="12.75">
      <c r="A18" s="115">
        <f>ROW()</f>
        <v>18</v>
      </c>
      <c r="B18" s="89" t="s">
        <v>23</v>
      </c>
      <c r="C18" s="28"/>
      <c r="D18" s="56"/>
      <c r="E18" s="105" t="s">
        <v>39</v>
      </c>
      <c r="F18" s="131">
        <v>1999</v>
      </c>
      <c r="G18" s="131">
        <v>2000</v>
      </c>
      <c r="H18" s="131">
        <v>2001</v>
      </c>
      <c r="I18" s="131">
        <v>2002</v>
      </c>
      <c r="J18" s="131">
        <v>2003</v>
      </c>
      <c r="K18" s="131">
        <v>2004</v>
      </c>
      <c r="L18" s="131">
        <v>2005</v>
      </c>
      <c r="M18" s="131">
        <v>2006</v>
      </c>
      <c r="N18" s="131">
        <v>2007</v>
      </c>
      <c r="O18" s="131">
        <v>2008</v>
      </c>
      <c r="P18" s="131">
        <v>2009</v>
      </c>
      <c r="Q18" s="131">
        <v>2010</v>
      </c>
      <c r="R18" s="131">
        <v>2011</v>
      </c>
      <c r="S18" s="131">
        <v>2012</v>
      </c>
      <c r="T18" s="131">
        <v>2013</v>
      </c>
      <c r="U18" s="131">
        <v>2014</v>
      </c>
      <c r="V18" s="131">
        <v>2015</v>
      </c>
    </row>
    <row r="19" spans="1:22" ht="12.75">
      <c r="A19" s="115">
        <f>ROW()</f>
        <v>19</v>
      </c>
      <c r="B19" s="89"/>
      <c r="C19" s="28"/>
      <c r="D19" s="56"/>
      <c r="E19" s="56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</row>
    <row r="20" spans="1:22" ht="12.75">
      <c r="A20" s="115">
        <f>ROW()</f>
        <v>20</v>
      </c>
      <c r="B20" s="89" t="s">
        <v>11</v>
      </c>
      <c r="C20" s="28"/>
      <c r="D20" s="56"/>
      <c r="E20" s="56"/>
      <c r="F20" s="133"/>
      <c r="G20" s="133"/>
      <c r="H20" s="133"/>
      <c r="I20" s="133"/>
      <c r="J20" s="133"/>
      <c r="K20" s="133"/>
      <c r="L20" s="133">
        <v>0.64835579</v>
      </c>
      <c r="M20" s="133">
        <v>2.8841692400000003</v>
      </c>
      <c r="N20" s="133">
        <v>1.66058356</v>
      </c>
      <c r="O20" s="133">
        <v>0</v>
      </c>
      <c r="P20" s="133">
        <v>0</v>
      </c>
      <c r="Q20" s="133">
        <v>0</v>
      </c>
      <c r="R20" s="133">
        <v>15.555981391860001</v>
      </c>
      <c r="S20" s="133"/>
      <c r="T20" s="133"/>
      <c r="U20" s="133"/>
      <c r="V20" s="133"/>
    </row>
    <row r="21" spans="1:22" ht="12.75">
      <c r="A21" s="115">
        <f>ROW()</f>
        <v>21</v>
      </c>
      <c r="B21" s="89" t="s">
        <v>16</v>
      </c>
      <c r="C21" s="28"/>
      <c r="D21" s="56"/>
      <c r="E21" s="56"/>
      <c r="F21" s="133"/>
      <c r="G21" s="133"/>
      <c r="H21" s="133"/>
      <c r="I21" s="133"/>
      <c r="J21" s="133"/>
      <c r="K21" s="133"/>
      <c r="L21" s="133">
        <v>0</v>
      </c>
      <c r="M21" s="133">
        <v>0</v>
      </c>
      <c r="N21" s="133">
        <v>0</v>
      </c>
      <c r="O21" s="133">
        <v>0</v>
      </c>
      <c r="P21" s="133">
        <v>5.0681472</v>
      </c>
      <c r="Q21" s="133">
        <v>0</v>
      </c>
      <c r="R21" s="133">
        <v>2.7523879968</v>
      </c>
      <c r="S21" s="133"/>
      <c r="T21" s="133"/>
      <c r="U21" s="133"/>
      <c r="V21" s="133"/>
    </row>
    <row r="22" spans="1:22" ht="12.75">
      <c r="A22" s="115">
        <f>ROW()</f>
        <v>22</v>
      </c>
      <c r="B22" s="89" t="s">
        <v>17</v>
      </c>
      <c r="C22" s="28"/>
      <c r="D22" s="56"/>
      <c r="E22" s="56"/>
      <c r="F22" s="133"/>
      <c r="G22" s="133"/>
      <c r="H22" s="133"/>
      <c r="I22" s="133"/>
      <c r="J22" s="133"/>
      <c r="K22" s="133"/>
      <c r="L22" s="133">
        <v>1.82858475</v>
      </c>
      <c r="M22" s="133">
        <v>3.1245166699999998</v>
      </c>
      <c r="N22" s="133">
        <v>4.914626660000001</v>
      </c>
      <c r="O22" s="133">
        <v>1.50386908</v>
      </c>
      <c r="P22" s="133">
        <v>1.1776810800000002</v>
      </c>
      <c r="Q22" s="133">
        <v>0.9677288199999999</v>
      </c>
      <c r="R22" s="133">
        <v>3.80808474282</v>
      </c>
      <c r="S22" s="133">
        <v>2.86</v>
      </c>
      <c r="T22" s="133">
        <v>1.59</v>
      </c>
      <c r="U22" s="133"/>
      <c r="V22" s="133"/>
    </row>
    <row r="23" spans="1:22" ht="12.75">
      <c r="A23" s="115">
        <f>ROW()</f>
        <v>23</v>
      </c>
      <c r="B23" s="89" t="s">
        <v>18</v>
      </c>
      <c r="C23" s="28"/>
      <c r="D23" s="56"/>
      <c r="E23" s="56"/>
      <c r="F23" s="133"/>
      <c r="G23" s="133"/>
      <c r="H23" s="133"/>
      <c r="I23" s="133"/>
      <c r="J23" s="133"/>
      <c r="K23" s="133"/>
      <c r="L23" s="133">
        <v>0.11491508</v>
      </c>
      <c r="M23" s="133">
        <v>0</v>
      </c>
      <c r="N23" s="133">
        <v>0</v>
      </c>
      <c r="O23" s="133">
        <v>0.002401</v>
      </c>
      <c r="P23" s="133">
        <v>0</v>
      </c>
      <c r="Q23" s="133">
        <v>0.043273</v>
      </c>
      <c r="R23" s="133">
        <v>0</v>
      </c>
      <c r="S23" s="133"/>
      <c r="T23" s="133"/>
      <c r="U23" s="133"/>
      <c r="V23" s="133"/>
    </row>
    <row r="24" spans="1:22" ht="13.5" thickBot="1">
      <c r="A24" s="115">
        <f>ROW()</f>
        <v>24</v>
      </c>
      <c r="B24" s="100" t="s">
        <v>20</v>
      </c>
      <c r="C24" s="49"/>
      <c r="D24" s="83"/>
      <c r="E24" s="83"/>
      <c r="F24" s="101">
        <f>SUM(F20:F23)</f>
        <v>0</v>
      </c>
      <c r="G24" s="101">
        <f aca="true" t="shared" si="2" ref="G24:V24">SUM(G20:G23)</f>
        <v>0</v>
      </c>
      <c r="H24" s="101">
        <f t="shared" si="2"/>
        <v>0</v>
      </c>
      <c r="I24" s="101">
        <f t="shared" si="2"/>
        <v>0</v>
      </c>
      <c r="J24" s="101">
        <f t="shared" si="2"/>
        <v>0</v>
      </c>
      <c r="K24" s="101">
        <f t="shared" si="2"/>
        <v>0</v>
      </c>
      <c r="L24" s="101">
        <f t="shared" si="2"/>
        <v>2.59185562</v>
      </c>
      <c r="M24" s="101">
        <f t="shared" si="2"/>
        <v>6.0086859100000005</v>
      </c>
      <c r="N24" s="101">
        <f t="shared" si="2"/>
        <v>6.575210220000001</v>
      </c>
      <c r="O24" s="101">
        <f t="shared" si="2"/>
        <v>1.5062700800000002</v>
      </c>
      <c r="P24" s="101">
        <f t="shared" si="2"/>
        <v>6.2458282800000005</v>
      </c>
      <c r="Q24" s="101">
        <f t="shared" si="2"/>
        <v>1.01100182</v>
      </c>
      <c r="R24" s="101">
        <f t="shared" si="2"/>
        <v>22.11645413148</v>
      </c>
      <c r="S24" s="101">
        <f t="shared" si="2"/>
        <v>2.86</v>
      </c>
      <c r="T24" s="101">
        <f t="shared" si="2"/>
        <v>1.59</v>
      </c>
      <c r="U24" s="101">
        <f t="shared" si="2"/>
        <v>0</v>
      </c>
      <c r="V24" s="101">
        <f t="shared" si="2"/>
        <v>0</v>
      </c>
    </row>
    <row r="25" spans="1:22" ht="13.5" thickBot="1">
      <c r="A25" s="115">
        <f>ROW()</f>
        <v>25</v>
      </c>
      <c r="B25" s="118"/>
      <c r="C25" s="28"/>
      <c r="D25" s="56"/>
      <c r="E25" s="56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</row>
    <row r="26" spans="1:22" ht="26.25">
      <c r="A26" s="115">
        <f>ROW()</f>
        <v>26</v>
      </c>
      <c r="B26" s="87" t="s">
        <v>207</v>
      </c>
      <c r="C26" s="45"/>
      <c r="D26" s="77"/>
      <c r="E26" s="77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</row>
    <row r="27" spans="1:22" ht="12.75">
      <c r="A27" s="115">
        <f>ROW()</f>
        <v>27</v>
      </c>
      <c r="B27" s="89" t="s">
        <v>23</v>
      </c>
      <c r="C27" s="28"/>
      <c r="D27" s="56"/>
      <c r="E27" s="105" t="s">
        <v>39</v>
      </c>
      <c r="F27" s="131">
        <v>1999</v>
      </c>
      <c r="G27" s="131">
        <v>2000</v>
      </c>
      <c r="H27" s="131">
        <v>2001</v>
      </c>
      <c r="I27" s="131">
        <v>2002</v>
      </c>
      <c r="J27" s="131">
        <v>2003</v>
      </c>
      <c r="K27" s="131">
        <v>2004</v>
      </c>
      <c r="L27" s="131">
        <v>2005</v>
      </c>
      <c r="M27" s="131">
        <v>2006</v>
      </c>
      <c r="N27" s="131">
        <v>2007</v>
      </c>
      <c r="O27" s="131">
        <v>2008</v>
      </c>
      <c r="P27" s="131">
        <v>2009</v>
      </c>
      <c r="Q27" s="131">
        <v>2010</v>
      </c>
      <c r="R27" s="131">
        <v>2011</v>
      </c>
      <c r="S27" s="131">
        <v>2012</v>
      </c>
      <c r="T27" s="131">
        <v>2013</v>
      </c>
      <c r="U27" s="131">
        <v>2014</v>
      </c>
      <c r="V27" s="131">
        <v>2015</v>
      </c>
    </row>
    <row r="28" spans="1:22" ht="12.75">
      <c r="A28" s="115">
        <f>ROW()</f>
        <v>28</v>
      </c>
      <c r="B28" s="89"/>
      <c r="C28" s="28"/>
      <c r="D28" s="56"/>
      <c r="E28" s="56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</row>
    <row r="29" spans="1:22" ht="12.75">
      <c r="A29" s="115">
        <f>ROW()</f>
        <v>29</v>
      </c>
      <c r="B29" s="89" t="s">
        <v>11</v>
      </c>
      <c r="C29" s="28"/>
      <c r="D29" s="56"/>
      <c r="E29" s="56"/>
      <c r="F29" s="135"/>
      <c r="G29" s="135"/>
      <c r="H29" s="135"/>
      <c r="I29" s="135"/>
      <c r="J29" s="135"/>
      <c r="K29" s="135"/>
      <c r="L29" s="133">
        <v>0</v>
      </c>
      <c r="M29" s="133">
        <v>0</v>
      </c>
      <c r="N29" s="133">
        <v>0</v>
      </c>
      <c r="O29" s="133">
        <v>0</v>
      </c>
      <c r="P29" s="133">
        <v>0</v>
      </c>
      <c r="Q29" s="133">
        <v>0</v>
      </c>
      <c r="R29" s="135"/>
      <c r="S29" s="135"/>
      <c r="T29" s="135"/>
      <c r="U29" s="135"/>
      <c r="V29" s="135"/>
    </row>
    <row r="30" spans="1:22" ht="12.75">
      <c r="A30" s="115">
        <f>ROW()</f>
        <v>30</v>
      </c>
      <c r="B30" s="89" t="s">
        <v>16</v>
      </c>
      <c r="C30" s="28"/>
      <c r="D30" s="56"/>
      <c r="E30" s="56"/>
      <c r="F30" s="135"/>
      <c r="G30" s="135"/>
      <c r="H30" s="135"/>
      <c r="I30" s="135"/>
      <c r="J30" s="135"/>
      <c r="K30" s="135"/>
      <c r="L30" s="133">
        <v>3.5088466488647247</v>
      </c>
      <c r="M30" s="133">
        <v>0</v>
      </c>
      <c r="N30" s="133">
        <v>0</v>
      </c>
      <c r="O30" s="133">
        <v>0</v>
      </c>
      <c r="P30" s="133">
        <v>0</v>
      </c>
      <c r="Q30" s="133">
        <v>0</v>
      </c>
      <c r="R30" s="135"/>
      <c r="S30" s="135"/>
      <c r="T30" s="135"/>
      <c r="U30" s="135"/>
      <c r="V30" s="135"/>
    </row>
    <row r="31" spans="1:22" ht="12.75">
      <c r="A31" s="115">
        <f>ROW()</f>
        <v>31</v>
      </c>
      <c r="B31" s="89" t="s">
        <v>17</v>
      </c>
      <c r="C31" s="28"/>
      <c r="D31" s="56"/>
      <c r="E31" s="56"/>
      <c r="F31" s="135"/>
      <c r="G31" s="135"/>
      <c r="H31" s="135"/>
      <c r="I31" s="135"/>
      <c r="J31" s="135"/>
      <c r="K31" s="135"/>
      <c r="L31" s="133">
        <v>0</v>
      </c>
      <c r="M31" s="133">
        <v>0</v>
      </c>
      <c r="N31" s="133">
        <v>0</v>
      </c>
      <c r="O31" s="133">
        <v>0</v>
      </c>
      <c r="P31" s="133">
        <v>0</v>
      </c>
      <c r="Q31" s="133">
        <v>0</v>
      </c>
      <c r="R31" s="135"/>
      <c r="S31" s="135"/>
      <c r="T31" s="135"/>
      <c r="U31" s="135"/>
      <c r="V31" s="135"/>
    </row>
    <row r="32" spans="1:22" ht="12.75">
      <c r="A32" s="115">
        <f>ROW()</f>
        <v>32</v>
      </c>
      <c r="B32" s="89" t="s">
        <v>18</v>
      </c>
      <c r="C32" s="28"/>
      <c r="D32" s="56"/>
      <c r="E32" s="56"/>
      <c r="F32" s="135"/>
      <c r="G32" s="135"/>
      <c r="H32" s="135"/>
      <c r="I32" s="135"/>
      <c r="J32" s="135"/>
      <c r="K32" s="135"/>
      <c r="L32" s="133">
        <v>3.5727927061385123</v>
      </c>
      <c r="M32" s="133">
        <v>0</v>
      </c>
      <c r="N32" s="133">
        <v>0.03405415633382465</v>
      </c>
      <c r="O32" s="133">
        <v>0.026903292510162873</v>
      </c>
      <c r="P32" s="133">
        <v>0.08554448116562384</v>
      </c>
      <c r="Q32" s="133">
        <v>0.010394835457760375</v>
      </c>
      <c r="R32" s="135"/>
      <c r="S32" s="135"/>
      <c r="T32" s="135"/>
      <c r="U32" s="135"/>
      <c r="V32" s="135"/>
    </row>
    <row r="33" spans="1:22" ht="12.75">
      <c r="A33" s="115"/>
      <c r="B33" s="89" t="s">
        <v>19</v>
      </c>
      <c r="C33" s="28"/>
      <c r="D33" s="56"/>
      <c r="E33" s="56"/>
      <c r="F33" s="135"/>
      <c r="G33" s="135"/>
      <c r="H33" s="135"/>
      <c r="I33" s="135"/>
      <c r="J33" s="135"/>
      <c r="K33" s="135"/>
      <c r="L33" s="133">
        <v>1.9325148634577272</v>
      </c>
      <c r="M33" s="133">
        <v>0</v>
      </c>
      <c r="N33" s="133">
        <v>0</v>
      </c>
      <c r="O33" s="133">
        <v>0</v>
      </c>
      <c r="P33" s="133">
        <v>0</v>
      </c>
      <c r="Q33" s="133">
        <v>0</v>
      </c>
      <c r="R33" s="135"/>
      <c r="S33" s="135"/>
      <c r="T33" s="135"/>
      <c r="U33" s="135"/>
      <c r="V33" s="135"/>
    </row>
    <row r="34" spans="1:22" ht="13.5" thickBot="1">
      <c r="A34" s="115">
        <f>ROW()</f>
        <v>34</v>
      </c>
      <c r="B34" s="100" t="s">
        <v>20</v>
      </c>
      <c r="C34" s="49"/>
      <c r="D34" s="83"/>
      <c r="E34" s="83"/>
      <c r="F34" s="101">
        <f aca="true" t="shared" si="3" ref="F34:V34">SUM(F29:F32)</f>
        <v>0</v>
      </c>
      <c r="G34" s="101">
        <f t="shared" si="3"/>
        <v>0</v>
      </c>
      <c r="H34" s="101">
        <f t="shared" si="3"/>
        <v>0</v>
      </c>
      <c r="I34" s="101">
        <f t="shared" si="3"/>
        <v>0</v>
      </c>
      <c r="J34" s="101">
        <f t="shared" si="3"/>
        <v>0</v>
      </c>
      <c r="K34" s="101">
        <f t="shared" si="3"/>
        <v>0</v>
      </c>
      <c r="L34" s="101">
        <f t="shared" si="3"/>
        <v>7.081639355003237</v>
      </c>
      <c r="M34" s="101">
        <f t="shared" si="3"/>
        <v>0</v>
      </c>
      <c r="N34" s="101">
        <f t="shared" si="3"/>
        <v>0.03405415633382465</v>
      </c>
      <c r="O34" s="101">
        <f t="shared" si="3"/>
        <v>0.026903292510162873</v>
      </c>
      <c r="P34" s="101">
        <f t="shared" si="3"/>
        <v>0.08554448116562384</v>
      </c>
      <c r="Q34" s="101">
        <f t="shared" si="3"/>
        <v>0.010394835457760375</v>
      </c>
      <c r="R34" s="101">
        <f t="shared" si="3"/>
        <v>0</v>
      </c>
      <c r="S34" s="101">
        <f t="shared" si="3"/>
        <v>0</v>
      </c>
      <c r="T34" s="101">
        <f t="shared" si="3"/>
        <v>0</v>
      </c>
      <c r="U34" s="101">
        <f t="shared" si="3"/>
        <v>0</v>
      </c>
      <c r="V34" s="101">
        <f t="shared" si="3"/>
        <v>0</v>
      </c>
    </row>
    <row r="35" spans="1:22" ht="13.5" thickBot="1">
      <c r="A35" s="115"/>
      <c r="B35" s="118"/>
      <c r="C35" s="28"/>
      <c r="D35" s="56"/>
      <c r="E35" s="56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</row>
    <row r="36" spans="1:22" ht="39">
      <c r="A36" s="115">
        <f>ROW()</f>
        <v>36</v>
      </c>
      <c r="B36" s="87" t="s">
        <v>96</v>
      </c>
      <c r="C36" s="64"/>
      <c r="D36" s="91"/>
      <c r="E36" s="91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ht="12.75">
      <c r="A37" s="115">
        <f>ROW()</f>
        <v>37</v>
      </c>
      <c r="B37" s="89" t="s">
        <v>23</v>
      </c>
      <c r="C37" s="92" t="s">
        <v>27</v>
      </c>
      <c r="D37" s="93" t="s">
        <v>26</v>
      </c>
      <c r="E37" s="105" t="s">
        <v>39</v>
      </c>
      <c r="F37" s="96"/>
      <c r="G37" s="94">
        <v>2004</v>
      </c>
      <c r="H37" s="94">
        <v>2004</v>
      </c>
      <c r="I37" s="94">
        <v>2004</v>
      </c>
      <c r="J37" s="94">
        <v>2004</v>
      </c>
      <c r="K37" s="94">
        <v>2004</v>
      </c>
      <c r="L37" s="94">
        <v>2004</v>
      </c>
      <c r="M37" s="94">
        <v>2004</v>
      </c>
      <c r="N37" s="94">
        <v>2004</v>
      </c>
      <c r="O37" s="94">
        <v>2004</v>
      </c>
      <c r="P37" s="94">
        <v>2004</v>
      </c>
      <c r="Q37" s="94">
        <v>2004</v>
      </c>
      <c r="R37" s="96"/>
      <c r="S37" s="96"/>
      <c r="T37" s="96"/>
      <c r="U37" s="96"/>
      <c r="V37" s="96"/>
    </row>
    <row r="38" spans="1:22" ht="12.75">
      <c r="A38" s="115">
        <f>ROW()</f>
        <v>38</v>
      </c>
      <c r="B38" s="89"/>
      <c r="C38" s="95" t="s">
        <v>21</v>
      </c>
      <c r="D38" s="95" t="s">
        <v>21</v>
      </c>
      <c r="E38" s="5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</row>
    <row r="39" spans="1:22" ht="12.75">
      <c r="A39" s="115">
        <f>ROW()</f>
        <v>39</v>
      </c>
      <c r="B39" s="89" t="s">
        <v>11</v>
      </c>
      <c r="C39" s="97">
        <v>54.5</v>
      </c>
      <c r="D39" s="97">
        <v>70</v>
      </c>
      <c r="E39" s="56"/>
      <c r="F39" s="120"/>
      <c r="G39" s="98">
        <v>27.360442982669333</v>
      </c>
      <c r="H39" s="98">
        <v>27.367694623051513</v>
      </c>
      <c r="I39" s="98">
        <v>27.37241662143991</v>
      </c>
      <c r="J39" s="98">
        <v>27.375081177673362</v>
      </c>
      <c r="K39" s="98">
        <v>27.381118589898527</v>
      </c>
      <c r="L39" s="98">
        <v>27.392863907750975</v>
      </c>
      <c r="M39" s="98">
        <v>27.45714464573869</v>
      </c>
      <c r="N39" s="98">
        <v>27.539190850713524</v>
      </c>
      <c r="O39" s="98">
        <v>31.171017265806515</v>
      </c>
      <c r="P39" s="98">
        <v>35.08467990011865</v>
      </c>
      <c r="Q39" s="98">
        <v>36.27857625365366</v>
      </c>
      <c r="R39" s="120"/>
      <c r="S39" s="120"/>
      <c r="T39" s="120"/>
      <c r="U39" s="120"/>
      <c r="V39" s="120"/>
    </row>
    <row r="40" spans="1:22" ht="12.75">
      <c r="A40" s="115">
        <f>ROW()</f>
        <v>40</v>
      </c>
      <c r="B40" s="89" t="s">
        <v>16</v>
      </c>
      <c r="C40" s="97">
        <v>18.724223590374013</v>
      </c>
      <c r="D40" s="97">
        <v>30</v>
      </c>
      <c r="E40" s="56"/>
      <c r="F40" s="120"/>
      <c r="G40" s="98">
        <v>13.340903493185591</v>
      </c>
      <c r="H40" s="98">
        <v>13.378679480292762</v>
      </c>
      <c r="I40" s="98">
        <v>13.549851921872134</v>
      </c>
      <c r="J40" s="98">
        <v>13.724959362108503</v>
      </c>
      <c r="K40" s="98">
        <v>13.796969837531549</v>
      </c>
      <c r="L40" s="98">
        <v>12.540025378330087</v>
      </c>
      <c r="M40" s="98">
        <v>12.605593358205823</v>
      </c>
      <c r="N40" s="98">
        <v>14.898427077028005</v>
      </c>
      <c r="O40" s="98">
        <v>18.808680666677645</v>
      </c>
      <c r="P40" s="98">
        <v>20.15568905699189</v>
      </c>
      <c r="Q40" s="98">
        <v>20.16936445872838</v>
      </c>
      <c r="R40" s="120"/>
      <c r="S40" s="120"/>
      <c r="T40" s="120"/>
      <c r="U40" s="120"/>
      <c r="V40" s="120"/>
    </row>
    <row r="41" spans="1:22" ht="12.75">
      <c r="A41" s="115">
        <f>ROW()</f>
        <v>41</v>
      </c>
      <c r="B41" s="89" t="s">
        <v>17</v>
      </c>
      <c r="C41" s="97">
        <v>38.00516524281382</v>
      </c>
      <c r="D41" s="97">
        <v>50</v>
      </c>
      <c r="E41" s="56"/>
      <c r="F41" s="120"/>
      <c r="G41" s="98">
        <v>0.5390160352954089</v>
      </c>
      <c r="H41" s="98">
        <v>0.5390160352954089</v>
      </c>
      <c r="I41" s="98">
        <v>0.540196534892508</v>
      </c>
      <c r="J41" s="98">
        <v>0.5413770344896071</v>
      </c>
      <c r="K41" s="98">
        <v>0.5425575340867063</v>
      </c>
      <c r="L41" s="98">
        <v>0.5957306902523557</v>
      </c>
      <c r="M41" s="98">
        <v>0.6182928278167354</v>
      </c>
      <c r="N41" s="98">
        <v>0.6429066893091849</v>
      </c>
      <c r="O41" s="98">
        <v>0.6459834995618373</v>
      </c>
      <c r="P41" s="98">
        <v>0.6459834995618373</v>
      </c>
      <c r="Q41" s="98">
        <v>0.6459834995618373</v>
      </c>
      <c r="R41" s="120"/>
      <c r="S41" s="120"/>
      <c r="T41" s="120"/>
      <c r="U41" s="120"/>
      <c r="V41" s="120"/>
    </row>
    <row r="42" spans="1:22" ht="12.75">
      <c r="A42" s="115">
        <f>ROW()</f>
        <v>42</v>
      </c>
      <c r="B42" s="89" t="s">
        <v>18</v>
      </c>
      <c r="C42" s="97">
        <v>16.85</v>
      </c>
      <c r="D42" s="97">
        <v>30</v>
      </c>
      <c r="E42" s="56"/>
      <c r="F42" s="120"/>
      <c r="G42" s="98">
        <v>3.338903877395326</v>
      </c>
      <c r="H42" s="98">
        <v>3.538093509412516</v>
      </c>
      <c r="I42" s="98">
        <v>3.7362206917923175</v>
      </c>
      <c r="J42" s="98">
        <v>3.9613026149725483</v>
      </c>
      <c r="K42" s="98">
        <v>4.147034551582809</v>
      </c>
      <c r="L42" s="98">
        <v>3.6656524818606626</v>
      </c>
      <c r="M42" s="98">
        <v>3.799316054401155</v>
      </c>
      <c r="N42" s="98">
        <v>3.9052924024936457</v>
      </c>
      <c r="O42" s="98">
        <v>3.9582819124004365</v>
      </c>
      <c r="P42" s="98">
        <v>4.140843923095544</v>
      </c>
      <c r="Q42" s="98">
        <v>4.357940925662396</v>
      </c>
      <c r="R42" s="120"/>
      <c r="S42" s="120"/>
      <c r="T42" s="120"/>
      <c r="U42" s="120"/>
      <c r="V42" s="120"/>
    </row>
    <row r="43" spans="1:22" ht="12.75">
      <c r="A43" s="115">
        <f>ROW()</f>
        <v>43</v>
      </c>
      <c r="B43" s="89" t="s">
        <v>19</v>
      </c>
      <c r="C43" s="99" t="s">
        <v>22</v>
      </c>
      <c r="D43" s="99" t="s">
        <v>22</v>
      </c>
      <c r="E43" s="56"/>
      <c r="F43" s="120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120"/>
      <c r="S43" s="120"/>
      <c r="T43" s="120"/>
      <c r="U43" s="120"/>
      <c r="V43" s="120"/>
    </row>
    <row r="44" spans="1:22" ht="13.5" thickBot="1">
      <c r="A44" s="115">
        <f>ROW()</f>
        <v>44</v>
      </c>
      <c r="B44" s="100" t="s">
        <v>20</v>
      </c>
      <c r="C44" s="49"/>
      <c r="D44" s="83"/>
      <c r="E44" s="83"/>
      <c r="F44" s="101"/>
      <c r="G44" s="101">
        <f aca="true" t="shared" si="4" ref="G44:Q44">SUM(G39:G43)</f>
        <v>44.57926638854566</v>
      </c>
      <c r="H44" s="101">
        <f t="shared" si="4"/>
        <v>44.8234836480522</v>
      </c>
      <c r="I44" s="101">
        <f t="shared" si="4"/>
        <v>45.19868576999687</v>
      </c>
      <c r="J44" s="101">
        <f t="shared" si="4"/>
        <v>45.60272018924402</v>
      </c>
      <c r="K44" s="101">
        <f t="shared" si="4"/>
        <v>45.867680513099586</v>
      </c>
      <c r="L44" s="101">
        <f t="shared" si="4"/>
        <v>44.19427245819408</v>
      </c>
      <c r="M44" s="101">
        <f t="shared" si="4"/>
        <v>44.48034688616241</v>
      </c>
      <c r="N44" s="101">
        <f t="shared" si="4"/>
        <v>46.985817019544356</v>
      </c>
      <c r="O44" s="101">
        <f t="shared" si="4"/>
        <v>54.58396334444643</v>
      </c>
      <c r="P44" s="101">
        <f t="shared" si="4"/>
        <v>60.02719637976792</v>
      </c>
      <c r="Q44" s="101">
        <f t="shared" si="4"/>
        <v>61.451865137606276</v>
      </c>
      <c r="R44" s="101"/>
      <c r="S44" s="101"/>
      <c r="T44" s="101"/>
      <c r="U44" s="101"/>
      <c r="V44" s="101"/>
    </row>
    <row r="45" ht="12.75">
      <c r="A45" s="115">
        <f>ROW()</f>
        <v>45</v>
      </c>
    </row>
    <row r="46" ht="13.5" thickBot="1">
      <c r="A46" s="115">
        <f>ROW()</f>
        <v>46</v>
      </c>
    </row>
    <row r="47" spans="1:22" ht="12.75">
      <c r="A47" s="115">
        <f>ROW()</f>
        <v>47</v>
      </c>
      <c r="B47" s="87" t="s">
        <v>35</v>
      </c>
      <c r="C47" s="45"/>
      <c r="D47" s="77"/>
      <c r="E47" s="77"/>
      <c r="F47" s="45"/>
      <c r="G47" s="45"/>
      <c r="H47" s="45"/>
      <c r="I47" s="45"/>
      <c r="J47" s="45"/>
      <c r="K47" s="45"/>
      <c r="L47" s="127"/>
      <c r="M47" s="127"/>
      <c r="N47" s="127"/>
      <c r="O47" s="127"/>
      <c r="P47" s="127"/>
      <c r="Q47" s="45"/>
      <c r="R47" s="45"/>
      <c r="S47" s="45"/>
      <c r="T47" s="45"/>
      <c r="U47" s="45"/>
      <c r="V47" s="45"/>
    </row>
    <row r="48" spans="1:22" ht="12.75">
      <c r="A48" s="115">
        <f>ROW()</f>
        <v>48</v>
      </c>
      <c r="B48" s="88" t="str">
        <f>"In "&amp;CompareYear&amp;" $'s"</f>
        <v>In 2010 $'s</v>
      </c>
      <c r="C48" s="28"/>
      <c r="D48" s="56"/>
      <c r="E48" s="78" t="s">
        <v>25</v>
      </c>
      <c r="F48" s="78">
        <f aca="true" t="shared" si="5" ref="F48:V48">INDEX(CPIindex,MATCH(IF(CompareYear="Nominal",F$2,CompareYear),CPIindexYRs,0))/INDEX(CPIindex,MATCH(F$8,CPIindexYRs,0))</f>
        <v>1.4189079054604725</v>
      </c>
      <c r="G48" s="78">
        <f t="shared" si="5"/>
        <v>1.3517080745341614</v>
      </c>
      <c r="H48" s="78">
        <f t="shared" si="5"/>
        <v>1.312971342383107</v>
      </c>
      <c r="I48" s="78">
        <f t="shared" si="5"/>
        <v>1.2763929618768328</v>
      </c>
      <c r="J48" s="78">
        <f t="shared" si="5"/>
        <v>1.2507183908045978</v>
      </c>
      <c r="K48" s="78">
        <f t="shared" si="5"/>
        <v>1.21493370551291</v>
      </c>
      <c r="L48" s="78">
        <f t="shared" si="5"/>
        <v>1.1684563758389261</v>
      </c>
      <c r="M48" s="78">
        <f t="shared" si="5"/>
        <v>1.1196141479099677</v>
      </c>
      <c r="N48" s="78">
        <f t="shared" si="5"/>
        <v>1.0867665418227217</v>
      </c>
      <c r="O48" s="78">
        <f t="shared" si="5"/>
        <v>1.0475330926594464</v>
      </c>
      <c r="P48" s="78">
        <f t="shared" si="5"/>
        <v>1.0259281084266352</v>
      </c>
      <c r="Q48" s="78">
        <f t="shared" si="5"/>
        <v>1</v>
      </c>
      <c r="R48" s="78">
        <f t="shared" si="5"/>
        <v>0.9749439407234083</v>
      </c>
      <c r="S48" s="78">
        <f t="shared" si="5"/>
        <v>0.9505156875532887</v>
      </c>
      <c r="T48" s="78">
        <f t="shared" si="5"/>
        <v>0.9266995101426233</v>
      </c>
      <c r="U48" s="78">
        <f t="shared" si="5"/>
        <v>0.9034800722849013</v>
      </c>
      <c r="V48" s="78">
        <f t="shared" si="5"/>
        <v>0.8808424220385116</v>
      </c>
    </row>
    <row r="49" spans="1:22" ht="12.75">
      <c r="A49" s="115">
        <f>ROW()</f>
        <v>49</v>
      </c>
      <c r="B49" s="89" t="s">
        <v>11</v>
      </c>
      <c r="C49" s="28"/>
      <c r="D49" s="56"/>
      <c r="E49" s="56"/>
      <c r="F49" s="79">
        <f aca="true" t="shared" si="6" ref="F49:K49">(F10-F29)*F$48</f>
        <v>1792.288804885891</v>
      </c>
      <c r="G49" s="79">
        <f t="shared" si="6"/>
        <v>1.875955345186335</v>
      </c>
      <c r="H49" s="79">
        <f t="shared" si="6"/>
        <v>0.03951584200603318</v>
      </c>
      <c r="I49" s="79">
        <f t="shared" si="6"/>
        <v>0.08161167250733138</v>
      </c>
      <c r="J49" s="79">
        <f t="shared" si="6"/>
        <v>2.64401867816092E-05</v>
      </c>
      <c r="K49" s="79">
        <f t="shared" si="6"/>
        <v>0.7547496210746685</v>
      </c>
      <c r="L49" s="79">
        <f>(L10-L29)*L$48</f>
        <v>8.68584138166443</v>
      </c>
      <c r="M49" s="79">
        <f aca="true" t="shared" si="7" ref="M49:V49">(M10-M29)*M$48</f>
        <v>257.3775081488681</v>
      </c>
      <c r="N49" s="79">
        <f t="shared" si="7"/>
        <v>1.2458552529338327</v>
      </c>
      <c r="O49" s="79">
        <f t="shared" si="7"/>
        <v>517.0013211183754</v>
      </c>
      <c r="P49" s="79">
        <f t="shared" si="7"/>
        <v>0</v>
      </c>
      <c r="Q49" s="79">
        <f t="shared" si="7"/>
        <v>489.95989998000005</v>
      </c>
      <c r="R49" s="79">
        <f t="shared" si="7"/>
        <v>13.020286886972038</v>
      </c>
      <c r="S49" s="79">
        <f t="shared" si="7"/>
        <v>3.95</v>
      </c>
      <c r="T49" s="79">
        <f t="shared" si="7"/>
        <v>4.255</v>
      </c>
      <c r="U49" s="79">
        <f t="shared" si="7"/>
        <v>0.615</v>
      </c>
      <c r="V49" s="79">
        <f t="shared" si="7"/>
        <v>0.8149999999999998</v>
      </c>
    </row>
    <row r="50" spans="1:22" ht="12.75">
      <c r="A50" s="115">
        <f>ROW()</f>
        <v>50</v>
      </c>
      <c r="B50" s="89" t="s">
        <v>16</v>
      </c>
      <c r="C50" s="28"/>
      <c r="D50" s="56"/>
      <c r="E50" s="56"/>
      <c r="F50" s="79">
        <f aca="true" t="shared" si="8" ref="F50:L50">(F11-F30)*F$48</f>
        <v>300.2461354808617</v>
      </c>
      <c r="G50" s="79">
        <f t="shared" si="8"/>
        <v>-2.698014802679056</v>
      </c>
      <c r="H50" s="79">
        <f t="shared" si="8"/>
        <v>1.7423060519834088</v>
      </c>
      <c r="I50" s="79">
        <f t="shared" si="8"/>
        <v>0.10634288384164223</v>
      </c>
      <c r="J50" s="79">
        <f t="shared" si="8"/>
        <v>-0.14357981974137932</v>
      </c>
      <c r="K50" s="79">
        <f t="shared" si="8"/>
        <v>0.22290123839497553</v>
      </c>
      <c r="L50" s="79">
        <f t="shared" si="8"/>
        <v>44.05954090221913</v>
      </c>
      <c r="M50" s="79">
        <f aca="true" t="shared" si="9" ref="M50:V50">(M11-M30)*M$48</f>
        <v>172.08681506056587</v>
      </c>
      <c r="N50" s="79">
        <f t="shared" si="9"/>
        <v>0.14749430317103618</v>
      </c>
      <c r="O50" s="79">
        <f t="shared" si="9"/>
        <v>132.85555701826712</v>
      </c>
      <c r="P50" s="79">
        <f t="shared" si="9"/>
        <v>0</v>
      </c>
      <c r="Q50" s="79">
        <f t="shared" si="9"/>
        <v>52.260917140000004</v>
      </c>
      <c r="R50" s="79">
        <f t="shared" si="9"/>
        <v>36.50865741898274</v>
      </c>
      <c r="S50" s="79">
        <f t="shared" si="9"/>
        <v>7.2727</v>
      </c>
      <c r="T50" s="79">
        <f t="shared" si="9"/>
        <v>2.76</v>
      </c>
      <c r="U50" s="79">
        <f t="shared" si="9"/>
        <v>3.5</v>
      </c>
      <c r="V50" s="79">
        <f t="shared" si="9"/>
        <v>6.6899999999999995</v>
      </c>
    </row>
    <row r="51" spans="1:22" ht="12.75">
      <c r="A51" s="115">
        <f>ROW()</f>
        <v>51</v>
      </c>
      <c r="B51" s="89" t="s">
        <v>17</v>
      </c>
      <c r="C51" s="28"/>
      <c r="D51" s="56"/>
      <c r="E51" s="56"/>
      <c r="F51" s="79">
        <f aca="true" t="shared" si="10" ref="F51:L51">(F12-F31)*F$48</f>
        <v>24.622530020700122</v>
      </c>
      <c r="G51" s="79">
        <f t="shared" si="10"/>
        <v>0.7727623145962731</v>
      </c>
      <c r="H51" s="79">
        <f t="shared" si="10"/>
        <v>0.7085243056184012</v>
      </c>
      <c r="I51" s="79">
        <f t="shared" si="10"/>
        <v>0.456905091532258</v>
      </c>
      <c r="J51" s="79">
        <f t="shared" si="10"/>
        <v>-0.03973180875718391</v>
      </c>
      <c r="K51" s="79">
        <f t="shared" si="10"/>
        <v>2.029578683517097</v>
      </c>
      <c r="L51" s="79">
        <f t="shared" si="10"/>
        <v>0</v>
      </c>
      <c r="M51" s="79">
        <f aca="true" t="shared" si="11" ref="M51:V51">(M12-M31)*M$48</f>
        <v>0</v>
      </c>
      <c r="N51" s="79">
        <f t="shared" si="11"/>
        <v>0</v>
      </c>
      <c r="O51" s="79">
        <f t="shared" si="11"/>
        <v>0</v>
      </c>
      <c r="P51" s="79">
        <f t="shared" si="11"/>
        <v>0.07815495707719504</v>
      </c>
      <c r="Q51" s="79">
        <f t="shared" si="11"/>
        <v>4.75553671</v>
      </c>
      <c r="R51" s="79">
        <f t="shared" si="11"/>
        <v>32.08580377063653</v>
      </c>
      <c r="S51" s="79">
        <f t="shared" si="11"/>
        <v>0.48530000000000006</v>
      </c>
      <c r="T51" s="79">
        <f t="shared" si="11"/>
        <v>2.6549999999999994</v>
      </c>
      <c r="U51" s="79">
        <f t="shared" si="11"/>
        <v>2.655</v>
      </c>
      <c r="V51" s="79">
        <f t="shared" si="11"/>
        <v>0.155</v>
      </c>
    </row>
    <row r="52" spans="1:22" ht="12.75">
      <c r="A52" s="115">
        <f>ROW()</f>
        <v>52</v>
      </c>
      <c r="B52" s="89" t="s">
        <v>18</v>
      </c>
      <c r="C52" s="28"/>
      <c r="D52" s="56"/>
      <c r="E52" s="56"/>
      <c r="F52" s="79">
        <f aca="true" t="shared" si="12" ref="F52:L52">(F13-F32)*F$48</f>
        <v>67.62265014967798</v>
      </c>
      <c r="G52" s="79">
        <f t="shared" si="12"/>
        <v>6.88826176902174</v>
      </c>
      <c r="H52" s="79">
        <f t="shared" si="12"/>
        <v>1.799672067631976</v>
      </c>
      <c r="I52" s="79">
        <f t="shared" si="12"/>
        <v>0.9573356042741936</v>
      </c>
      <c r="J52" s="79">
        <f t="shared" si="12"/>
        <v>1.1512806880244255</v>
      </c>
      <c r="K52" s="79">
        <f t="shared" si="12"/>
        <v>1.095243673210049</v>
      </c>
      <c r="L52" s="79">
        <f t="shared" si="12"/>
        <v>-0.06113987262896021</v>
      </c>
      <c r="M52" s="79">
        <f aca="true" t="shared" si="13" ref="M52:V52">(M13-M32)*M$48</f>
        <v>0.8794547411318329</v>
      </c>
      <c r="N52" s="79">
        <f t="shared" si="13"/>
        <v>2.2989824401765366</v>
      </c>
      <c r="O52" s="79">
        <f t="shared" si="13"/>
        <v>5.87275407155223</v>
      </c>
      <c r="P52" s="79">
        <f t="shared" si="13"/>
        <v>0.4706425898000289</v>
      </c>
      <c r="Q52" s="79">
        <f t="shared" si="13"/>
        <v>75.30506148454228</v>
      </c>
      <c r="R52" s="79">
        <f t="shared" si="13"/>
        <v>75.10426286060083</v>
      </c>
      <c r="S52" s="79">
        <f t="shared" si="13"/>
        <v>4.745</v>
      </c>
      <c r="T52" s="79">
        <f t="shared" si="13"/>
        <v>4.155</v>
      </c>
      <c r="U52" s="79">
        <f t="shared" si="13"/>
        <v>6.755</v>
      </c>
      <c r="V52" s="79">
        <f t="shared" si="13"/>
        <v>6.155</v>
      </c>
    </row>
    <row r="53" spans="1:22" ht="12.75">
      <c r="A53" s="115">
        <f>ROW()</f>
        <v>53</v>
      </c>
      <c r="B53" s="89" t="s">
        <v>19</v>
      </c>
      <c r="C53" s="28"/>
      <c r="D53" s="56"/>
      <c r="E53" s="56"/>
      <c r="F53" s="79">
        <f aca="true" t="shared" si="14" ref="F53:K53">(F14-F33)*F$48</f>
        <v>14.527132926601467</v>
      </c>
      <c r="G53" s="79">
        <f t="shared" si="14"/>
        <v>0</v>
      </c>
      <c r="H53" s="79">
        <f t="shared" si="14"/>
        <v>0</v>
      </c>
      <c r="I53" s="79">
        <f t="shared" si="14"/>
        <v>0</v>
      </c>
      <c r="J53" s="79">
        <f t="shared" si="14"/>
        <v>0</v>
      </c>
      <c r="K53" s="79">
        <f t="shared" si="14"/>
        <v>0</v>
      </c>
      <c r="L53" s="79">
        <f>(L14-L33)*L$48</f>
        <v>-2.2580593136106732</v>
      </c>
      <c r="M53" s="79">
        <f aca="true" t="shared" si="15" ref="M53:V53">(M14-M33)*M$48</f>
        <v>-0.13417981047588423</v>
      </c>
      <c r="N53" s="79">
        <f t="shared" si="15"/>
        <v>1.950041065792759</v>
      </c>
      <c r="O53" s="79">
        <f t="shared" si="15"/>
        <v>1.4827331567569195</v>
      </c>
      <c r="P53" s="79">
        <f t="shared" si="15"/>
        <v>0.6784392920506775</v>
      </c>
      <c r="Q53" s="79">
        <f t="shared" si="15"/>
        <v>0.66606215</v>
      </c>
      <c r="R53" s="79">
        <f t="shared" si="15"/>
        <v>0</v>
      </c>
      <c r="S53" s="79">
        <f t="shared" si="15"/>
        <v>0</v>
      </c>
      <c r="T53" s="79">
        <f t="shared" si="15"/>
        <v>0</v>
      </c>
      <c r="U53" s="79">
        <f t="shared" si="15"/>
        <v>0</v>
      </c>
      <c r="V53" s="79">
        <f t="shared" si="15"/>
        <v>0</v>
      </c>
    </row>
    <row r="54" spans="1:22" s="1" customFormat="1" ht="13.5" thickBot="1">
      <c r="A54" s="115">
        <f>ROW()</f>
        <v>54</v>
      </c>
      <c r="B54" s="90" t="s">
        <v>20</v>
      </c>
      <c r="C54" s="69"/>
      <c r="D54" s="80"/>
      <c r="E54" s="80"/>
      <c r="F54" s="68">
        <f aca="true" t="shared" si="16" ref="F54:V54">SUM(F49:F53)</f>
        <v>2199.3072534637326</v>
      </c>
      <c r="G54" s="68">
        <f t="shared" si="16"/>
        <v>6.838964626125292</v>
      </c>
      <c r="H54" s="68">
        <f t="shared" si="16"/>
        <v>4.290018267239819</v>
      </c>
      <c r="I54" s="68">
        <f t="shared" si="16"/>
        <v>1.6021952521554252</v>
      </c>
      <c r="J54" s="68">
        <f t="shared" si="16"/>
        <v>0.9679954997126439</v>
      </c>
      <c r="K54" s="68">
        <f t="shared" si="16"/>
        <v>4.10247321619679</v>
      </c>
      <c r="L54" s="68">
        <f t="shared" si="16"/>
        <v>50.42618309764393</v>
      </c>
      <c r="M54" s="68">
        <f t="shared" si="16"/>
        <v>430.20959814008995</v>
      </c>
      <c r="N54" s="68">
        <f t="shared" si="16"/>
        <v>5.642373062074165</v>
      </c>
      <c r="O54" s="68">
        <f t="shared" si="16"/>
        <v>657.2123653649517</v>
      </c>
      <c r="P54" s="68">
        <f t="shared" si="16"/>
        <v>1.2272368389279014</v>
      </c>
      <c r="Q54" s="68">
        <f t="shared" si="16"/>
        <v>622.9474774645423</v>
      </c>
      <c r="R54" s="68">
        <f t="shared" si="16"/>
        <v>156.71901093719214</v>
      </c>
      <c r="S54" s="68">
        <f t="shared" si="16"/>
        <v>16.453</v>
      </c>
      <c r="T54" s="68">
        <f t="shared" si="16"/>
        <v>13.825</v>
      </c>
      <c r="U54" s="68">
        <f t="shared" si="16"/>
        <v>13.524999999999999</v>
      </c>
      <c r="V54" s="68">
        <f t="shared" si="16"/>
        <v>13.815</v>
      </c>
    </row>
    <row r="55" spans="1:2" ht="12.75">
      <c r="A55" s="115">
        <f>ROW()</f>
        <v>55</v>
      </c>
      <c r="B55" s="11"/>
    </row>
    <row r="56" spans="1:2" ht="13.5" thickBot="1">
      <c r="A56" s="115">
        <f>ROW()</f>
        <v>56</v>
      </c>
      <c r="B56" s="11"/>
    </row>
    <row r="57" spans="1:22" ht="12.75">
      <c r="A57" s="115">
        <f>ROW()</f>
        <v>57</v>
      </c>
      <c r="B57" s="87" t="s">
        <v>54</v>
      </c>
      <c r="C57" s="45"/>
      <c r="D57" s="77"/>
      <c r="E57" s="77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</row>
    <row r="58" spans="1:22" ht="12.75">
      <c r="A58" s="115">
        <f>ROW()</f>
        <v>58</v>
      </c>
      <c r="B58" s="88" t="str">
        <f>"In "&amp;CompareYear&amp;" $'s"</f>
        <v>In 2010 $'s</v>
      </c>
      <c r="C58" s="28"/>
      <c r="D58" s="56"/>
      <c r="E58" s="105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</row>
    <row r="59" spans="1:22" ht="12.75">
      <c r="A59" s="115">
        <f>ROW()</f>
        <v>59</v>
      </c>
      <c r="B59" s="89"/>
      <c r="C59" s="28"/>
      <c r="D59" s="56"/>
      <c r="E59" s="56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</row>
    <row r="60" spans="1:22" ht="12.75">
      <c r="A60" s="115">
        <f>ROW()</f>
        <v>60</v>
      </c>
      <c r="B60" s="89" t="s">
        <v>11</v>
      </c>
      <c r="C60" s="28"/>
      <c r="D60" s="56"/>
      <c r="E60" s="56"/>
      <c r="F60" s="135">
        <f aca="true" t="shared" si="17" ref="F60:V60">F$48*F20</f>
        <v>0</v>
      </c>
      <c r="G60" s="135">
        <f t="shared" si="17"/>
        <v>0</v>
      </c>
      <c r="H60" s="135">
        <f t="shared" si="17"/>
        <v>0</v>
      </c>
      <c r="I60" s="135">
        <f t="shared" si="17"/>
        <v>0</v>
      </c>
      <c r="J60" s="135">
        <f t="shared" si="17"/>
        <v>0</v>
      </c>
      <c r="K60" s="135">
        <f t="shared" si="17"/>
        <v>0</v>
      </c>
      <c r="L60" s="135">
        <f t="shared" si="17"/>
        <v>0.7575754566375839</v>
      </c>
      <c r="M60" s="135">
        <f t="shared" si="17"/>
        <v>3.2291566860707395</v>
      </c>
      <c r="N60" s="135">
        <f t="shared" si="17"/>
        <v>1.8046666529088642</v>
      </c>
      <c r="O60" s="135">
        <f t="shared" si="17"/>
        <v>0</v>
      </c>
      <c r="P60" s="135">
        <f t="shared" si="17"/>
        <v>0</v>
      </c>
      <c r="Q60" s="135">
        <f t="shared" si="17"/>
        <v>0</v>
      </c>
      <c r="R60" s="135">
        <f t="shared" si="17"/>
        <v>15.166209799999999</v>
      </c>
      <c r="S60" s="135">
        <f t="shared" si="17"/>
        <v>0</v>
      </c>
      <c r="T60" s="135">
        <f t="shared" si="17"/>
        <v>0</v>
      </c>
      <c r="U60" s="135">
        <f t="shared" si="17"/>
        <v>0</v>
      </c>
      <c r="V60" s="135">
        <f t="shared" si="17"/>
        <v>0</v>
      </c>
    </row>
    <row r="61" spans="1:22" ht="12.75">
      <c r="A61" s="115">
        <f>ROW()</f>
        <v>61</v>
      </c>
      <c r="B61" s="89" t="s">
        <v>16</v>
      </c>
      <c r="C61" s="28"/>
      <c r="D61" s="56"/>
      <c r="E61" s="56"/>
      <c r="F61" s="135">
        <f aca="true" t="shared" si="18" ref="F61:V61">F$48*F21</f>
        <v>0</v>
      </c>
      <c r="G61" s="135">
        <f t="shared" si="18"/>
        <v>0</v>
      </c>
      <c r="H61" s="135">
        <f t="shared" si="18"/>
        <v>0</v>
      </c>
      <c r="I61" s="135">
        <f t="shared" si="18"/>
        <v>0</v>
      </c>
      <c r="J61" s="135">
        <f t="shared" si="18"/>
        <v>0</v>
      </c>
      <c r="K61" s="135">
        <f t="shared" si="18"/>
        <v>0</v>
      </c>
      <c r="L61" s="135">
        <f t="shared" si="18"/>
        <v>0</v>
      </c>
      <c r="M61" s="135">
        <f t="shared" si="18"/>
        <v>0</v>
      </c>
      <c r="N61" s="135">
        <f t="shared" si="18"/>
        <v>0</v>
      </c>
      <c r="O61" s="135">
        <f t="shared" si="18"/>
        <v>0</v>
      </c>
      <c r="P61" s="135">
        <f t="shared" si="18"/>
        <v>5.199554670123748</v>
      </c>
      <c r="Q61" s="135">
        <f t="shared" si="18"/>
        <v>0</v>
      </c>
      <c r="R61" s="135">
        <f t="shared" si="18"/>
        <v>2.6834239999999996</v>
      </c>
      <c r="S61" s="135">
        <f t="shared" si="18"/>
        <v>0</v>
      </c>
      <c r="T61" s="135">
        <f t="shared" si="18"/>
        <v>0</v>
      </c>
      <c r="U61" s="135">
        <f t="shared" si="18"/>
        <v>0</v>
      </c>
      <c r="V61" s="135">
        <f t="shared" si="18"/>
        <v>0</v>
      </c>
    </row>
    <row r="62" spans="1:22" ht="12.75">
      <c r="A62" s="115">
        <f>ROW()</f>
        <v>62</v>
      </c>
      <c r="B62" s="89" t="s">
        <v>17</v>
      </c>
      <c r="C62" s="28"/>
      <c r="D62" s="56"/>
      <c r="E62" s="56"/>
      <c r="F62" s="135">
        <f aca="true" t="shared" si="19" ref="F62:V62">F$48*F22</f>
        <v>0</v>
      </c>
      <c r="G62" s="135">
        <f t="shared" si="19"/>
        <v>0</v>
      </c>
      <c r="H62" s="135">
        <f t="shared" si="19"/>
        <v>0</v>
      </c>
      <c r="I62" s="135">
        <f t="shared" si="19"/>
        <v>0</v>
      </c>
      <c r="J62" s="135">
        <f t="shared" si="19"/>
        <v>0</v>
      </c>
      <c r="K62" s="135">
        <f t="shared" si="19"/>
        <v>0</v>
      </c>
      <c r="L62" s="135">
        <f t="shared" si="19"/>
        <v>2.136621509899329</v>
      </c>
      <c r="M62" s="135">
        <f t="shared" si="19"/>
        <v>3.4982530691125397</v>
      </c>
      <c r="N62" s="135">
        <f t="shared" si="19"/>
        <v>5.341051819637953</v>
      </c>
      <c r="O62" s="135">
        <f t="shared" si="19"/>
        <v>1.5753526283273165</v>
      </c>
      <c r="P62" s="135">
        <f t="shared" si="19"/>
        <v>1.208216122734237</v>
      </c>
      <c r="Q62" s="135">
        <f t="shared" si="19"/>
        <v>0.9677288199999999</v>
      </c>
      <c r="R62" s="135">
        <f t="shared" si="19"/>
        <v>3.7126691457736176</v>
      </c>
      <c r="S62" s="135">
        <f t="shared" si="19"/>
        <v>2.718474866402406</v>
      </c>
      <c r="T62" s="135">
        <f t="shared" si="19"/>
        <v>1.473452221126771</v>
      </c>
      <c r="U62" s="135">
        <f t="shared" si="19"/>
        <v>0</v>
      </c>
      <c r="V62" s="135">
        <f t="shared" si="19"/>
        <v>0</v>
      </c>
    </row>
    <row r="63" spans="1:22" ht="12.75">
      <c r="A63" s="115">
        <f>ROW()</f>
        <v>63</v>
      </c>
      <c r="B63" s="89" t="s">
        <v>18</v>
      </c>
      <c r="C63" s="28"/>
      <c r="D63" s="56"/>
      <c r="E63" s="56"/>
      <c r="F63" s="135">
        <f aca="true" t="shared" si="20" ref="F63:V63">F$48*F23</f>
        <v>0</v>
      </c>
      <c r="G63" s="135">
        <f t="shared" si="20"/>
        <v>0</v>
      </c>
      <c r="H63" s="135">
        <f t="shared" si="20"/>
        <v>0</v>
      </c>
      <c r="I63" s="135">
        <f t="shared" si="20"/>
        <v>0</v>
      </c>
      <c r="J63" s="135">
        <f t="shared" si="20"/>
        <v>0</v>
      </c>
      <c r="K63" s="135">
        <f t="shared" si="20"/>
        <v>0</v>
      </c>
      <c r="L63" s="135">
        <f t="shared" si="20"/>
        <v>0.13427325790604028</v>
      </c>
      <c r="M63" s="135">
        <f t="shared" si="20"/>
        <v>0</v>
      </c>
      <c r="N63" s="135">
        <f t="shared" si="20"/>
        <v>0</v>
      </c>
      <c r="O63" s="135">
        <f t="shared" si="20"/>
        <v>0.0025151269554753307</v>
      </c>
      <c r="P63" s="135">
        <f t="shared" si="20"/>
        <v>0</v>
      </c>
      <c r="Q63" s="135">
        <f t="shared" si="20"/>
        <v>0.043273</v>
      </c>
      <c r="R63" s="135">
        <f t="shared" si="20"/>
        <v>0</v>
      </c>
      <c r="S63" s="135">
        <f t="shared" si="20"/>
        <v>0</v>
      </c>
      <c r="T63" s="135">
        <f t="shared" si="20"/>
        <v>0</v>
      </c>
      <c r="U63" s="135">
        <f t="shared" si="20"/>
        <v>0</v>
      </c>
      <c r="V63" s="135">
        <f t="shared" si="20"/>
        <v>0</v>
      </c>
    </row>
    <row r="64" spans="1:22" ht="13.5" thickBot="1">
      <c r="A64" s="115">
        <f>ROW()</f>
        <v>64</v>
      </c>
      <c r="B64" s="100" t="s">
        <v>20</v>
      </c>
      <c r="C64" s="49"/>
      <c r="D64" s="83"/>
      <c r="E64" s="83"/>
      <c r="F64" s="101">
        <f aca="true" t="shared" si="21" ref="F64:V64">SUM(F60:F63)</f>
        <v>0</v>
      </c>
      <c r="G64" s="101">
        <f t="shared" si="21"/>
        <v>0</v>
      </c>
      <c r="H64" s="101">
        <f t="shared" si="21"/>
        <v>0</v>
      </c>
      <c r="I64" s="101">
        <f t="shared" si="21"/>
        <v>0</v>
      </c>
      <c r="J64" s="101">
        <f t="shared" si="21"/>
        <v>0</v>
      </c>
      <c r="K64" s="101">
        <f t="shared" si="21"/>
        <v>0</v>
      </c>
      <c r="L64" s="101">
        <f t="shared" si="21"/>
        <v>3.028470224442953</v>
      </c>
      <c r="M64" s="101">
        <f t="shared" si="21"/>
        <v>6.727409755183279</v>
      </c>
      <c r="N64" s="101">
        <f t="shared" si="21"/>
        <v>7.145718472546817</v>
      </c>
      <c r="O64" s="101">
        <f t="shared" si="21"/>
        <v>1.5778677552827918</v>
      </c>
      <c r="P64" s="101">
        <f t="shared" si="21"/>
        <v>6.407770792857985</v>
      </c>
      <c r="Q64" s="101">
        <f t="shared" si="21"/>
        <v>1.01100182</v>
      </c>
      <c r="R64" s="101">
        <f t="shared" si="21"/>
        <v>21.562302945773617</v>
      </c>
      <c r="S64" s="101">
        <f t="shared" si="21"/>
        <v>2.718474866402406</v>
      </c>
      <c r="T64" s="101">
        <f t="shared" si="21"/>
        <v>1.473452221126771</v>
      </c>
      <c r="U64" s="101">
        <f t="shared" si="21"/>
        <v>0</v>
      </c>
      <c r="V64" s="101">
        <f t="shared" si="21"/>
        <v>0</v>
      </c>
    </row>
    <row r="65" spans="1:2" ht="12.75">
      <c r="A65" s="115">
        <f>ROW()</f>
        <v>65</v>
      </c>
      <c r="B65" s="11"/>
    </row>
    <row r="66" spans="1:5" ht="13.5" thickBot="1">
      <c r="A66" s="115">
        <f>ROW()</f>
        <v>66</v>
      </c>
      <c r="D66"/>
      <c r="E66"/>
    </row>
    <row r="67" spans="1:22" ht="12.75">
      <c r="A67" s="115">
        <f>ROW()</f>
        <v>67</v>
      </c>
      <c r="B67" s="87" t="s">
        <v>199</v>
      </c>
      <c r="C67" s="45"/>
      <c r="D67" s="77"/>
      <c r="E67" s="77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1:22" ht="12.75">
      <c r="A68" s="115">
        <f>ROW()</f>
        <v>68</v>
      </c>
      <c r="B68" s="88" t="str">
        <f>"In "&amp;CompareYear&amp;" $'s"</f>
        <v>In 2010 $'s</v>
      </c>
      <c r="C68" s="28"/>
      <c r="D68" s="56"/>
      <c r="E68" s="78" t="s">
        <v>25</v>
      </c>
      <c r="F68" s="78"/>
      <c r="G68" s="78">
        <f aca="true" t="shared" si="22" ref="G68:Q68">INDEX(CPIindex,MATCH(IF(CompareYear="Nominal",G$2,CompareYear),CPIindexYRs,0))/INDEX(CPIindex,MATCH(G$37,CPIindexYRs,0))</f>
        <v>1.21493370551291</v>
      </c>
      <c r="H68" s="78">
        <f t="shared" si="22"/>
        <v>1.21493370551291</v>
      </c>
      <c r="I68" s="78">
        <f t="shared" si="22"/>
        <v>1.21493370551291</v>
      </c>
      <c r="J68" s="78">
        <f t="shared" si="22"/>
        <v>1.21493370551291</v>
      </c>
      <c r="K68" s="78">
        <f t="shared" si="22"/>
        <v>1.21493370551291</v>
      </c>
      <c r="L68" s="78">
        <f t="shared" si="22"/>
        <v>1.21493370551291</v>
      </c>
      <c r="M68" s="78">
        <f t="shared" si="22"/>
        <v>1.21493370551291</v>
      </c>
      <c r="N68" s="78">
        <f t="shared" si="22"/>
        <v>1.21493370551291</v>
      </c>
      <c r="O68" s="78">
        <f t="shared" si="22"/>
        <v>1.21493370551291</v>
      </c>
      <c r="P68" s="78">
        <f t="shared" si="22"/>
        <v>1.21493370551291</v>
      </c>
      <c r="Q68" s="78">
        <f t="shared" si="22"/>
        <v>1.21493370551291</v>
      </c>
      <c r="R68" s="78"/>
      <c r="S68" s="78"/>
      <c r="T68" s="78"/>
      <c r="U68" s="78"/>
      <c r="V68" s="78"/>
    </row>
    <row r="69" spans="1:22" ht="12.75">
      <c r="A69" s="115">
        <f>ROW()</f>
        <v>69</v>
      </c>
      <c r="B69" s="89" t="s">
        <v>11</v>
      </c>
      <c r="C69" s="28"/>
      <c r="D69" s="56"/>
      <c r="E69" s="56"/>
      <c r="F69" s="79"/>
      <c r="G69" s="79">
        <f aca="true" t="shared" si="23" ref="G69:Q69">G39*G$68</f>
        <v>33.24112437740914</v>
      </c>
      <c r="H69" s="79">
        <f t="shared" si="23"/>
        <v>33.249934639729716</v>
      </c>
      <c r="I69" s="79">
        <f t="shared" si="23"/>
        <v>33.255671554729155</v>
      </c>
      <c r="J69" s="79">
        <f t="shared" si="23"/>
        <v>33.25890881390741</v>
      </c>
      <c r="K69" s="79">
        <f t="shared" si="23"/>
        <v>33.26624386951384</v>
      </c>
      <c r="L69" s="79">
        <f t="shared" si="23"/>
        <v>33.28051365205474</v>
      </c>
      <c r="M69" s="79">
        <f t="shared" si="23"/>
        <v>33.35861048725126</v>
      </c>
      <c r="N69" s="79">
        <f t="shared" si="23"/>
        <v>33.458291187084605</v>
      </c>
      <c r="O69" s="79">
        <f t="shared" si="23"/>
        <v>37.8707195113532</v>
      </c>
      <c r="P69" s="79">
        <f t="shared" si="23"/>
        <v>42.625560157785465</v>
      </c>
      <c r="Q69" s="79">
        <f t="shared" si="23"/>
        <v>44.0760650785841</v>
      </c>
      <c r="R69" s="79"/>
      <c r="S69" s="79"/>
      <c r="T69" s="79"/>
      <c r="U69" s="79"/>
      <c r="V69" s="79"/>
    </row>
    <row r="70" spans="1:22" ht="12.75">
      <c r="A70" s="115">
        <f>ROW()</f>
        <v>70</v>
      </c>
      <c r="B70" s="89" t="s">
        <v>16</v>
      </c>
      <c r="C70" s="28"/>
      <c r="D70" s="56"/>
      <c r="E70" s="56"/>
      <c r="F70" s="79"/>
      <c r="G70" s="79">
        <f aca="true" t="shared" si="24" ref="G70:Q70">G40*G$68</f>
        <v>16.208313315866093</v>
      </c>
      <c r="H70" s="79">
        <f t="shared" si="24"/>
        <v>16.254208635861616</v>
      </c>
      <c r="I70" s="79">
        <f t="shared" si="24"/>
        <v>16.462171804591335</v>
      </c>
      <c r="J70" s="79">
        <f t="shared" si="24"/>
        <v>16.674915735820587</v>
      </c>
      <c r="K70" s="79">
        <f t="shared" si="24"/>
        <v>16.762403689562056</v>
      </c>
      <c r="L70" s="79">
        <f t="shared" si="24"/>
        <v>15.235299500120503</v>
      </c>
      <c r="M70" s="79">
        <f t="shared" si="24"/>
        <v>15.314960248873927</v>
      </c>
      <c r="N70" s="79">
        <f t="shared" si="24"/>
        <v>18.100601215007504</v>
      </c>
      <c r="O70" s="79">
        <f t="shared" si="24"/>
        <v>22.8513000981757</v>
      </c>
      <c r="P70" s="79">
        <f t="shared" si="24"/>
        <v>24.487825993177164</v>
      </c>
      <c r="Q70" s="79">
        <f t="shared" si="24"/>
        <v>24.504440699683258</v>
      </c>
      <c r="R70" s="79"/>
      <c r="S70" s="79"/>
      <c r="T70" s="79"/>
      <c r="U70" s="79"/>
      <c r="V70" s="79"/>
    </row>
    <row r="71" spans="1:22" ht="12.75">
      <c r="A71" s="115">
        <f>ROW()</f>
        <v>71</v>
      </c>
      <c r="B71" s="89" t="s">
        <v>17</v>
      </c>
      <c r="C71" s="28"/>
      <c r="D71" s="56"/>
      <c r="E71" s="56"/>
      <c r="F71" s="79"/>
      <c r="G71" s="79">
        <f aca="true" t="shared" si="25" ref="G71:Q71">G41*G$68</f>
        <v>0.6548687490923285</v>
      </c>
      <c r="H71" s="79">
        <f t="shared" si="25"/>
        <v>0.6548687490923285</v>
      </c>
      <c r="I71" s="79">
        <f t="shared" si="25"/>
        <v>0.6563029778421886</v>
      </c>
      <c r="J71" s="79">
        <f t="shared" si="25"/>
        <v>0.6577372065920487</v>
      </c>
      <c r="K71" s="79">
        <f t="shared" si="25"/>
        <v>0.6591714353419089</v>
      </c>
      <c r="L71" s="79">
        <f t="shared" si="25"/>
        <v>0.723773294996058</v>
      </c>
      <c r="M71" s="79">
        <f t="shared" si="25"/>
        <v>0.751184796391442</v>
      </c>
      <c r="N71" s="79">
        <f t="shared" si="25"/>
        <v>0.7810890063414452</v>
      </c>
      <c r="O71" s="79">
        <f t="shared" si="25"/>
        <v>0.7848271268228603</v>
      </c>
      <c r="P71" s="79">
        <f t="shared" si="25"/>
        <v>0.7848271268228603</v>
      </c>
      <c r="Q71" s="79">
        <f t="shared" si="25"/>
        <v>0.7848271268228603</v>
      </c>
      <c r="R71" s="79"/>
      <c r="S71" s="79"/>
      <c r="T71" s="79"/>
      <c r="U71" s="79"/>
      <c r="V71" s="79"/>
    </row>
    <row r="72" spans="1:22" ht="12.75">
      <c r="A72" s="115">
        <f>ROW()</f>
        <v>72</v>
      </c>
      <c r="B72" s="89" t="s">
        <v>18</v>
      </c>
      <c r="C72" s="28"/>
      <c r="D72" s="56"/>
      <c r="E72" s="56"/>
      <c r="F72" s="79"/>
      <c r="G72" s="79">
        <f aca="true" t="shared" si="26" ref="G72:Q72">G42*G$68</f>
        <v>4.056546860115326</v>
      </c>
      <c r="H72" s="79">
        <f t="shared" si="26"/>
        <v>4.298549057841724</v>
      </c>
      <c r="I72" s="79">
        <f t="shared" si="26"/>
        <v>4.5392604496932485</v>
      </c>
      <c r="J72" s="79">
        <f t="shared" si="26"/>
        <v>4.8127200646665775</v>
      </c>
      <c r="K72" s="79">
        <f t="shared" si="26"/>
        <v>5.038372054644571</v>
      </c>
      <c r="L72" s="79">
        <f t="shared" si="26"/>
        <v>4.453524752909569</v>
      </c>
      <c r="M72" s="79">
        <f t="shared" si="26"/>
        <v>4.615917132388283</v>
      </c>
      <c r="N72" s="79">
        <f t="shared" si="26"/>
        <v>4.74467136967302</v>
      </c>
      <c r="O72" s="79">
        <f t="shared" si="26"/>
        <v>4.80905011129739</v>
      </c>
      <c r="P72" s="79">
        <f t="shared" si="26"/>
        <v>5.030850851437084</v>
      </c>
      <c r="Q72" s="79">
        <f t="shared" si="26"/>
        <v>5.294609317221375</v>
      </c>
      <c r="R72" s="79"/>
      <c r="S72" s="79"/>
      <c r="T72" s="79"/>
      <c r="U72" s="79"/>
      <c r="V72" s="79"/>
    </row>
    <row r="73" spans="1:22" ht="12.75">
      <c r="A73" s="115">
        <f>ROW()</f>
        <v>73</v>
      </c>
      <c r="B73" s="89" t="s">
        <v>19</v>
      </c>
      <c r="C73" s="28"/>
      <c r="D73" s="56"/>
      <c r="E73" s="56"/>
      <c r="F73" s="79"/>
      <c r="G73" s="79">
        <f aca="true" t="shared" si="27" ref="G73:Q73">G43*G$68</f>
        <v>0</v>
      </c>
      <c r="H73" s="79">
        <f t="shared" si="27"/>
        <v>0</v>
      </c>
      <c r="I73" s="79">
        <f t="shared" si="27"/>
        <v>0</v>
      </c>
      <c r="J73" s="79">
        <f t="shared" si="27"/>
        <v>0</v>
      </c>
      <c r="K73" s="79">
        <f t="shared" si="27"/>
        <v>0</v>
      </c>
      <c r="L73" s="79">
        <f t="shared" si="27"/>
        <v>0</v>
      </c>
      <c r="M73" s="79">
        <f t="shared" si="27"/>
        <v>0</v>
      </c>
      <c r="N73" s="79">
        <f t="shared" si="27"/>
        <v>0</v>
      </c>
      <c r="O73" s="79">
        <f t="shared" si="27"/>
        <v>0</v>
      </c>
      <c r="P73" s="79">
        <f t="shared" si="27"/>
        <v>0</v>
      </c>
      <c r="Q73" s="79">
        <f t="shared" si="27"/>
        <v>0</v>
      </c>
      <c r="R73" s="79"/>
      <c r="S73" s="79"/>
      <c r="T73" s="79"/>
      <c r="U73" s="79"/>
      <c r="V73" s="79"/>
    </row>
    <row r="74" spans="1:22" s="1" customFormat="1" ht="13.5" thickBot="1">
      <c r="A74" s="115">
        <f>ROW()</f>
        <v>74</v>
      </c>
      <c r="B74" s="90" t="s">
        <v>20</v>
      </c>
      <c r="C74" s="69"/>
      <c r="D74" s="80"/>
      <c r="E74" s="80"/>
      <c r="F74" s="68"/>
      <c r="G74" s="68">
        <f aca="true" t="shared" si="28" ref="G74:V74">SUM(G69:G73)</f>
        <v>54.16085330248289</v>
      </c>
      <c r="H74" s="68">
        <f t="shared" si="28"/>
        <v>54.45756108252539</v>
      </c>
      <c r="I74" s="68">
        <f t="shared" si="28"/>
        <v>54.91340678685593</v>
      </c>
      <c r="J74" s="68">
        <f t="shared" si="28"/>
        <v>55.404281820986625</v>
      </c>
      <c r="K74" s="68">
        <f t="shared" si="28"/>
        <v>55.72619104906238</v>
      </c>
      <c r="L74" s="68">
        <f t="shared" si="28"/>
        <v>53.69311120008088</v>
      </c>
      <c r="M74" s="68">
        <f t="shared" si="28"/>
        <v>54.04067266490491</v>
      </c>
      <c r="N74" s="68">
        <f t="shared" si="28"/>
        <v>57.08465277810658</v>
      </c>
      <c r="O74" s="68">
        <f t="shared" si="28"/>
        <v>66.31589684764916</v>
      </c>
      <c r="P74" s="68">
        <f t="shared" si="28"/>
        <v>72.92906412922257</v>
      </c>
      <c r="Q74" s="68">
        <f t="shared" si="28"/>
        <v>74.6599422223116</v>
      </c>
      <c r="R74" s="68">
        <f t="shared" si="28"/>
        <v>0</v>
      </c>
      <c r="S74" s="68">
        <f t="shared" si="28"/>
        <v>0</v>
      </c>
      <c r="T74" s="68">
        <f t="shared" si="28"/>
        <v>0</v>
      </c>
      <c r="U74" s="68">
        <f t="shared" si="28"/>
        <v>0</v>
      </c>
      <c r="V74" s="68">
        <f t="shared" si="28"/>
        <v>0</v>
      </c>
    </row>
    <row r="75" spans="1:22" s="1" customFormat="1" ht="12.75">
      <c r="A75" s="115">
        <f>ROW()</f>
        <v>75</v>
      </c>
      <c r="B75" s="203"/>
      <c r="C75" s="70"/>
      <c r="D75" s="109"/>
      <c r="E75" s="109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04"/>
    </row>
    <row r="76" spans="1:5" ht="13.5" thickBot="1">
      <c r="A76" s="115">
        <f>ROW()</f>
        <v>76</v>
      </c>
      <c r="D76"/>
      <c r="E76"/>
    </row>
    <row r="77" spans="1:22" ht="12.75">
      <c r="A77" s="115">
        <f>ROW()</f>
        <v>77</v>
      </c>
      <c r="B77" s="87" t="str">
        <f>"New Capex Depreciation in "&amp;CompareYear&amp;" $'s"</f>
        <v>New Capex Depreciation in 2010 $'s</v>
      </c>
      <c r="C77" s="45"/>
      <c r="D77" s="45"/>
      <c r="E77" s="45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5"/>
      <c r="V77" s="45"/>
    </row>
    <row r="78" spans="1:22" ht="12.75">
      <c r="A78" s="115">
        <f>ROW()</f>
        <v>78</v>
      </c>
      <c r="B78" s="89" t="s">
        <v>11</v>
      </c>
      <c r="C78" s="28"/>
      <c r="D78" s="28"/>
      <c r="E78" s="29"/>
      <c r="F78" s="28"/>
      <c r="G78" s="79"/>
      <c r="H78" s="79"/>
      <c r="I78" s="79"/>
      <c r="J78" s="79"/>
      <c r="K78" s="79"/>
      <c r="L78" s="79">
        <f aca="true" t="shared" si="29" ref="L78:V78">K49/$D39</f>
        <v>0.010782137443923836</v>
      </c>
      <c r="M78" s="79">
        <f t="shared" si="29"/>
        <v>0.12408344830949185</v>
      </c>
      <c r="N78" s="79">
        <f t="shared" si="29"/>
        <v>3.6768215449838304</v>
      </c>
      <c r="O78" s="79">
        <f t="shared" si="29"/>
        <v>0.01779793218476904</v>
      </c>
      <c r="P78" s="79">
        <f t="shared" si="29"/>
        <v>7.385733158833934</v>
      </c>
      <c r="Q78" s="79">
        <f t="shared" si="29"/>
        <v>0</v>
      </c>
      <c r="R78" s="79">
        <f t="shared" si="29"/>
        <v>6.999427142571429</v>
      </c>
      <c r="S78" s="79">
        <f t="shared" si="29"/>
        <v>0.18600409838531481</v>
      </c>
      <c r="T78" s="79">
        <f t="shared" si="29"/>
        <v>0.05642857142857143</v>
      </c>
      <c r="U78" s="79">
        <f t="shared" si="29"/>
        <v>0.06078571428571428</v>
      </c>
      <c r="V78" s="79">
        <f t="shared" si="29"/>
        <v>0.008785714285714286</v>
      </c>
    </row>
    <row r="79" spans="1:22" ht="12.75">
      <c r="A79" s="115">
        <f>ROW()</f>
        <v>79</v>
      </c>
      <c r="B79" s="89" t="s">
        <v>12</v>
      </c>
      <c r="C79" s="28"/>
      <c r="D79" s="28"/>
      <c r="E79" s="29"/>
      <c r="F79" s="28"/>
      <c r="G79" s="79"/>
      <c r="H79" s="79"/>
      <c r="I79" s="79"/>
      <c r="J79" s="79"/>
      <c r="K79" s="79"/>
      <c r="L79" s="79">
        <f aca="true" t="shared" si="30" ref="L79:V79">K50/$D40</f>
        <v>0.0074300412798325175</v>
      </c>
      <c r="M79" s="79">
        <f t="shared" si="30"/>
        <v>1.4686513634073044</v>
      </c>
      <c r="N79" s="79">
        <f t="shared" si="30"/>
        <v>5.736227168685529</v>
      </c>
      <c r="O79" s="79">
        <f t="shared" si="30"/>
        <v>0.004916476772367872</v>
      </c>
      <c r="P79" s="79">
        <f t="shared" si="30"/>
        <v>4.428518567275571</v>
      </c>
      <c r="Q79" s="79">
        <f t="shared" si="30"/>
        <v>0</v>
      </c>
      <c r="R79" s="79">
        <f t="shared" si="30"/>
        <v>1.7420305713333335</v>
      </c>
      <c r="S79" s="79">
        <f t="shared" si="30"/>
        <v>1.2169552472994247</v>
      </c>
      <c r="T79" s="79">
        <f t="shared" si="30"/>
        <v>0.24242333333333335</v>
      </c>
      <c r="U79" s="79">
        <f t="shared" si="30"/>
        <v>0.092</v>
      </c>
      <c r="V79" s="79">
        <f t="shared" si="30"/>
        <v>0.11666666666666667</v>
      </c>
    </row>
    <row r="80" spans="1:22" ht="12.75">
      <c r="A80" s="115">
        <f>ROW()</f>
        <v>80</v>
      </c>
      <c r="B80" s="89" t="s">
        <v>13</v>
      </c>
      <c r="C80" s="28"/>
      <c r="D80" s="28"/>
      <c r="E80" s="29"/>
      <c r="F80" s="28"/>
      <c r="G80" s="79"/>
      <c r="H80" s="79"/>
      <c r="I80" s="79"/>
      <c r="J80" s="79"/>
      <c r="K80" s="79"/>
      <c r="L80" s="79">
        <f aca="true" t="shared" si="31" ref="L80:V80">K51/$D41</f>
        <v>0.04059157367034194</v>
      </c>
      <c r="M80" s="79">
        <f t="shared" si="31"/>
        <v>0</v>
      </c>
      <c r="N80" s="79">
        <f t="shared" si="31"/>
        <v>0</v>
      </c>
      <c r="O80" s="79">
        <f t="shared" si="31"/>
        <v>0</v>
      </c>
      <c r="P80" s="79">
        <f t="shared" si="31"/>
        <v>0</v>
      </c>
      <c r="Q80" s="79">
        <f t="shared" si="31"/>
        <v>0.0015630991415439008</v>
      </c>
      <c r="R80" s="79">
        <f t="shared" si="31"/>
        <v>0.0951107342</v>
      </c>
      <c r="S80" s="79">
        <f t="shared" si="31"/>
        <v>0.6417160754127306</v>
      </c>
      <c r="T80" s="79">
        <f t="shared" si="31"/>
        <v>0.009706000000000001</v>
      </c>
      <c r="U80" s="79">
        <f t="shared" si="31"/>
        <v>0.05309999999999999</v>
      </c>
      <c r="V80" s="79">
        <f t="shared" si="31"/>
        <v>0.053099999999999994</v>
      </c>
    </row>
    <row r="81" spans="1:22" ht="12.75">
      <c r="A81" s="115">
        <f>ROW()</f>
        <v>81</v>
      </c>
      <c r="B81" s="89" t="s">
        <v>14</v>
      </c>
      <c r="C81" s="28"/>
      <c r="D81" s="28"/>
      <c r="E81" s="29"/>
      <c r="F81" s="28"/>
      <c r="G81" s="79"/>
      <c r="H81" s="79"/>
      <c r="I81" s="79"/>
      <c r="J81" s="79"/>
      <c r="K81" s="79"/>
      <c r="L81" s="79">
        <f aca="true" t="shared" si="32" ref="L81:V81">K52/$D42</f>
        <v>0.03650812244033497</v>
      </c>
      <c r="M81" s="79">
        <f t="shared" si="32"/>
        <v>-0.0020379957542986738</v>
      </c>
      <c r="N81" s="79">
        <f t="shared" si="32"/>
        <v>0.029315158037727763</v>
      </c>
      <c r="O81" s="79">
        <f t="shared" si="32"/>
        <v>0.07663274800588456</v>
      </c>
      <c r="P81" s="79">
        <f t="shared" si="32"/>
        <v>0.19575846905174102</v>
      </c>
      <c r="Q81" s="79">
        <f t="shared" si="32"/>
        <v>0.01568808632666763</v>
      </c>
      <c r="R81" s="79">
        <f t="shared" si="32"/>
        <v>2.5101687161514095</v>
      </c>
      <c r="S81" s="79">
        <f t="shared" si="32"/>
        <v>2.503475428686694</v>
      </c>
      <c r="T81" s="79">
        <f t="shared" si="32"/>
        <v>0.15816666666666668</v>
      </c>
      <c r="U81" s="79">
        <f t="shared" si="32"/>
        <v>0.1385</v>
      </c>
      <c r="V81" s="79">
        <f t="shared" si="32"/>
        <v>0.22516666666666665</v>
      </c>
    </row>
    <row r="82" spans="1:22" ht="13.5" thickBot="1">
      <c r="A82" s="115">
        <f>ROW()</f>
        <v>82</v>
      </c>
      <c r="B82" s="90" t="s">
        <v>15</v>
      </c>
      <c r="C82" s="69"/>
      <c r="D82" s="69"/>
      <c r="E82" s="69"/>
      <c r="F82" s="49"/>
      <c r="G82" s="68"/>
      <c r="H82" s="68">
        <f aca="true" t="shared" si="33" ref="H82:V82">SUM(H78:H81)</f>
        <v>0</v>
      </c>
      <c r="I82" s="68">
        <f t="shared" si="33"/>
        <v>0</v>
      </c>
      <c r="J82" s="68">
        <f t="shared" si="33"/>
        <v>0</v>
      </c>
      <c r="K82" s="68">
        <f t="shared" si="33"/>
        <v>0</v>
      </c>
      <c r="L82" s="68">
        <f t="shared" si="33"/>
        <v>0.09531187483443326</v>
      </c>
      <c r="M82" s="68">
        <f t="shared" si="33"/>
        <v>1.5906968159624977</v>
      </c>
      <c r="N82" s="68">
        <f t="shared" si="33"/>
        <v>9.442363871707087</v>
      </c>
      <c r="O82" s="68">
        <f t="shared" si="33"/>
        <v>0.09934715696302146</v>
      </c>
      <c r="P82" s="68">
        <f t="shared" si="33"/>
        <v>12.010010195161245</v>
      </c>
      <c r="Q82" s="68">
        <f t="shared" si="33"/>
        <v>0.01725118546821153</v>
      </c>
      <c r="R82" s="68">
        <f t="shared" si="33"/>
        <v>11.346737164256172</v>
      </c>
      <c r="S82" s="68">
        <f t="shared" si="33"/>
        <v>4.5481508497841645</v>
      </c>
      <c r="T82" s="68">
        <f t="shared" si="33"/>
        <v>0.46672457142857143</v>
      </c>
      <c r="U82" s="68">
        <f t="shared" si="33"/>
        <v>0.3443857142857143</v>
      </c>
      <c r="V82" s="68">
        <f t="shared" si="33"/>
        <v>0.40371904761904764</v>
      </c>
    </row>
    <row r="83" spans="1:20" ht="12.75">
      <c r="A83" s="115">
        <f>ROW()</f>
        <v>83</v>
      </c>
      <c r="D83"/>
      <c r="E8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3.5" thickBot="1">
      <c r="A84" s="115">
        <f>ROW()</f>
        <v>84</v>
      </c>
      <c r="D84"/>
      <c r="E8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2" ht="26.25">
      <c r="A85" s="115">
        <f>ROW()</f>
        <v>85</v>
      </c>
      <c r="B85" s="87" t="str">
        <f>"Shipper Capex Depreciation in "&amp;CompareYear&amp;" $'s"</f>
        <v>Shipper Capex Depreciation in 2010 $'s</v>
      </c>
      <c r="C85" s="45"/>
      <c r="D85" s="77"/>
      <c r="E85" s="81" t="s">
        <v>25</v>
      </c>
      <c r="F85" s="81">
        <f aca="true" t="shared" si="34" ref="F85:V85">F48</f>
        <v>1.4189079054604725</v>
      </c>
      <c r="G85" s="81">
        <f t="shared" si="34"/>
        <v>1.3517080745341614</v>
      </c>
      <c r="H85" s="81">
        <f t="shared" si="34"/>
        <v>1.312971342383107</v>
      </c>
      <c r="I85" s="81">
        <f t="shared" si="34"/>
        <v>1.2763929618768328</v>
      </c>
      <c r="J85" s="81">
        <f t="shared" si="34"/>
        <v>1.2507183908045978</v>
      </c>
      <c r="K85" s="81">
        <f t="shared" si="34"/>
        <v>1.21493370551291</v>
      </c>
      <c r="L85" s="81">
        <f t="shared" si="34"/>
        <v>1.1684563758389261</v>
      </c>
      <c r="M85" s="81">
        <f t="shared" si="34"/>
        <v>1.1196141479099677</v>
      </c>
      <c r="N85" s="81">
        <f t="shared" si="34"/>
        <v>1.0867665418227217</v>
      </c>
      <c r="O85" s="81">
        <f t="shared" si="34"/>
        <v>1.0475330926594464</v>
      </c>
      <c r="P85" s="81">
        <f t="shared" si="34"/>
        <v>1.0259281084266352</v>
      </c>
      <c r="Q85" s="81">
        <f t="shared" si="34"/>
        <v>1</v>
      </c>
      <c r="R85" s="81">
        <f t="shared" si="34"/>
        <v>0.9749439407234083</v>
      </c>
      <c r="S85" s="81">
        <f t="shared" si="34"/>
        <v>0.9505156875532887</v>
      </c>
      <c r="T85" s="81">
        <f t="shared" si="34"/>
        <v>0.9266995101426233</v>
      </c>
      <c r="U85" s="81">
        <f t="shared" si="34"/>
        <v>0.9034800722849013</v>
      </c>
      <c r="V85" s="81">
        <f t="shared" si="34"/>
        <v>0.8808424220385116</v>
      </c>
    </row>
    <row r="86" spans="1:22" ht="12.75">
      <c r="A86" s="115">
        <f>ROW()</f>
        <v>86</v>
      </c>
      <c r="B86" s="89" t="s">
        <v>11</v>
      </c>
      <c r="C86" s="28"/>
      <c r="D86" s="56"/>
      <c r="E86" s="56"/>
      <c r="F86" s="135"/>
      <c r="G86" s="135"/>
      <c r="H86" s="135"/>
      <c r="I86" s="135"/>
      <c r="J86" s="135"/>
      <c r="K86" s="135"/>
      <c r="L86" s="135">
        <f aca="true" t="shared" si="35" ref="L86:V86">K60/$D39</f>
        <v>0</v>
      </c>
      <c r="M86" s="135">
        <f t="shared" si="35"/>
        <v>0.010822506523394055</v>
      </c>
      <c r="N86" s="135">
        <f t="shared" si="35"/>
        <v>0.046130809801010565</v>
      </c>
      <c r="O86" s="135">
        <f t="shared" si="35"/>
        <v>0.025780952184412346</v>
      </c>
      <c r="P86" s="135">
        <f t="shared" si="35"/>
        <v>0</v>
      </c>
      <c r="Q86" s="135">
        <f t="shared" si="35"/>
        <v>0</v>
      </c>
      <c r="R86" s="135">
        <f t="shared" si="35"/>
        <v>0</v>
      </c>
      <c r="S86" s="135">
        <f t="shared" si="35"/>
        <v>0.21666013999999997</v>
      </c>
      <c r="T86" s="135">
        <f t="shared" si="35"/>
        <v>0</v>
      </c>
      <c r="U86" s="135">
        <f t="shared" si="35"/>
        <v>0</v>
      </c>
      <c r="V86" s="135">
        <f t="shared" si="35"/>
        <v>0</v>
      </c>
    </row>
    <row r="87" spans="1:22" ht="12.75">
      <c r="A87" s="115">
        <f>ROW()</f>
        <v>87</v>
      </c>
      <c r="B87" s="89" t="s">
        <v>16</v>
      </c>
      <c r="C87" s="28"/>
      <c r="D87" s="56"/>
      <c r="E87" s="56"/>
      <c r="F87" s="135"/>
      <c r="G87" s="135"/>
      <c r="H87" s="135"/>
      <c r="I87" s="135"/>
      <c r="J87" s="135"/>
      <c r="K87" s="135"/>
      <c r="L87" s="135">
        <f aca="true" t="shared" si="36" ref="L87:V87">K61/$D40</f>
        <v>0</v>
      </c>
      <c r="M87" s="135">
        <f t="shared" si="36"/>
        <v>0</v>
      </c>
      <c r="N87" s="135">
        <f t="shared" si="36"/>
        <v>0</v>
      </c>
      <c r="O87" s="135">
        <f t="shared" si="36"/>
        <v>0</v>
      </c>
      <c r="P87" s="135">
        <f t="shared" si="36"/>
        <v>0</v>
      </c>
      <c r="Q87" s="135">
        <f t="shared" si="36"/>
        <v>0.17331848900412491</v>
      </c>
      <c r="R87" s="135">
        <f t="shared" si="36"/>
        <v>0</v>
      </c>
      <c r="S87" s="135">
        <f t="shared" si="36"/>
        <v>0.08944746666666666</v>
      </c>
      <c r="T87" s="135">
        <f t="shared" si="36"/>
        <v>0</v>
      </c>
      <c r="U87" s="135">
        <f t="shared" si="36"/>
        <v>0</v>
      </c>
      <c r="V87" s="135">
        <f t="shared" si="36"/>
        <v>0</v>
      </c>
    </row>
    <row r="88" spans="1:22" ht="12.75">
      <c r="A88" s="115">
        <f>ROW()</f>
        <v>88</v>
      </c>
      <c r="B88" s="89" t="s">
        <v>17</v>
      </c>
      <c r="C88" s="28"/>
      <c r="D88" s="56"/>
      <c r="E88" s="56"/>
      <c r="F88" s="135"/>
      <c r="G88" s="135"/>
      <c r="H88" s="135"/>
      <c r="I88" s="135"/>
      <c r="J88" s="135"/>
      <c r="K88" s="135"/>
      <c r="L88" s="135">
        <f aca="true" t="shared" si="37" ref="L88:V88">K62/$D41</f>
        <v>0</v>
      </c>
      <c r="M88" s="135">
        <f t="shared" si="37"/>
        <v>0.04273243019798658</v>
      </c>
      <c r="N88" s="135">
        <f t="shared" si="37"/>
        <v>0.0699650613822508</v>
      </c>
      <c r="O88" s="135">
        <f t="shared" si="37"/>
        <v>0.10682103639275907</v>
      </c>
      <c r="P88" s="135">
        <f t="shared" si="37"/>
        <v>0.03150705256654633</v>
      </c>
      <c r="Q88" s="135">
        <f t="shared" si="37"/>
        <v>0.02416432245468474</v>
      </c>
      <c r="R88" s="135">
        <f t="shared" si="37"/>
        <v>0.0193545764</v>
      </c>
      <c r="S88" s="135">
        <f t="shared" si="37"/>
        <v>0.07425338291547236</v>
      </c>
      <c r="T88" s="135">
        <f t="shared" si="37"/>
        <v>0.05436949732804812</v>
      </c>
      <c r="U88" s="135">
        <f t="shared" si="37"/>
        <v>0.029469044422535423</v>
      </c>
      <c r="V88" s="135">
        <f t="shared" si="37"/>
        <v>0</v>
      </c>
    </row>
    <row r="89" spans="1:22" ht="12.75">
      <c r="A89" s="115">
        <f>ROW()</f>
        <v>89</v>
      </c>
      <c r="B89" s="89" t="s">
        <v>18</v>
      </c>
      <c r="C89" s="28"/>
      <c r="D89" s="56"/>
      <c r="E89" s="56"/>
      <c r="F89" s="135"/>
      <c r="G89" s="135"/>
      <c r="H89" s="135"/>
      <c r="I89" s="135"/>
      <c r="J89" s="135"/>
      <c r="K89" s="135"/>
      <c r="L89" s="135">
        <f aca="true" t="shared" si="38" ref="L89:V89">K63/$D42</f>
        <v>0</v>
      </c>
      <c r="M89" s="135">
        <f t="shared" si="38"/>
        <v>0.004475775263534676</v>
      </c>
      <c r="N89" s="135">
        <f t="shared" si="38"/>
        <v>0</v>
      </c>
      <c r="O89" s="135">
        <f t="shared" si="38"/>
        <v>0</v>
      </c>
      <c r="P89" s="135">
        <f t="shared" si="38"/>
        <v>8.383756518251103E-05</v>
      </c>
      <c r="Q89" s="135">
        <f t="shared" si="38"/>
        <v>0</v>
      </c>
      <c r="R89" s="135">
        <f t="shared" si="38"/>
        <v>0.0014424333333333333</v>
      </c>
      <c r="S89" s="135">
        <f t="shared" si="38"/>
        <v>0</v>
      </c>
      <c r="T89" s="135">
        <f t="shared" si="38"/>
        <v>0</v>
      </c>
      <c r="U89" s="135">
        <f t="shared" si="38"/>
        <v>0</v>
      </c>
      <c r="V89" s="135">
        <f t="shared" si="38"/>
        <v>0</v>
      </c>
    </row>
    <row r="90" spans="1:22" ht="13.5" thickBot="1">
      <c r="A90" s="115">
        <f>ROW()</f>
        <v>90</v>
      </c>
      <c r="B90" s="90" t="s">
        <v>20</v>
      </c>
      <c r="C90" s="69"/>
      <c r="D90" s="80"/>
      <c r="E90" s="80"/>
      <c r="F90" s="101">
        <f aca="true" t="shared" si="39" ref="F90:Q90">SUM(F86:F89)</f>
        <v>0</v>
      </c>
      <c r="G90" s="101">
        <f t="shared" si="39"/>
        <v>0</v>
      </c>
      <c r="H90" s="101">
        <f t="shared" si="39"/>
        <v>0</v>
      </c>
      <c r="I90" s="101">
        <f t="shared" si="39"/>
        <v>0</v>
      </c>
      <c r="J90" s="101">
        <f t="shared" si="39"/>
        <v>0</v>
      </c>
      <c r="K90" s="101">
        <f t="shared" si="39"/>
        <v>0</v>
      </c>
      <c r="L90" s="101">
        <f t="shared" si="39"/>
        <v>0</v>
      </c>
      <c r="M90" s="101">
        <f t="shared" si="39"/>
        <v>0.05803071198491531</v>
      </c>
      <c r="N90" s="101">
        <f t="shared" si="39"/>
        <v>0.11609587118326137</v>
      </c>
      <c r="O90" s="101">
        <f t="shared" si="39"/>
        <v>0.13260198857717143</v>
      </c>
      <c r="P90" s="101">
        <f t="shared" si="39"/>
        <v>0.03159089013172884</v>
      </c>
      <c r="Q90" s="101">
        <f t="shared" si="39"/>
        <v>0.19748281145880967</v>
      </c>
      <c r="R90" s="101">
        <f>SUM(R86:R89)</f>
        <v>0.020797009733333333</v>
      </c>
      <c r="S90" s="101">
        <f>SUM(S86:S89)</f>
        <v>0.380360989582139</v>
      </c>
      <c r="T90" s="101">
        <f>SUM(T86:T89)</f>
        <v>0.05436949732804812</v>
      </c>
      <c r="U90" s="101">
        <f>SUM(U86:U89)</f>
        <v>0.029469044422535423</v>
      </c>
      <c r="V90" s="101">
        <f>SUM(V86:V89)</f>
        <v>0</v>
      </c>
    </row>
    <row r="91" spans="1:22" ht="13.5" thickBot="1">
      <c r="A91" s="115">
        <f>ROW()</f>
        <v>91</v>
      </c>
      <c r="B91" s="136" t="s">
        <v>59</v>
      </c>
      <c r="C91" s="144"/>
      <c r="D91" s="144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222"/>
      <c r="R91" s="221">
        <f>SUM($F$90:R90)</f>
        <v>0.5565992830692199</v>
      </c>
      <c r="S91" s="145">
        <f>S90+R91</f>
        <v>0.9369602726513588</v>
      </c>
      <c r="T91" s="145">
        <f>T90+S91</f>
        <v>0.9913297699794069</v>
      </c>
      <c r="U91" s="145">
        <f>U90+T91</f>
        <v>1.0207988144019424</v>
      </c>
      <c r="V91" s="145">
        <f>V90+U91</f>
        <v>1.0207988144019424</v>
      </c>
    </row>
    <row r="92" spans="1:20" ht="12.75">
      <c r="A92" s="115">
        <f>ROW()</f>
        <v>92</v>
      </c>
      <c r="D92"/>
      <c r="E92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3.5" thickBot="1">
      <c r="A93" s="115">
        <f>ROW()</f>
        <v>93</v>
      </c>
      <c r="D93"/>
      <c r="E9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2" ht="26.25">
      <c r="A94" s="115">
        <f>ROW()</f>
        <v>94</v>
      </c>
      <c r="B94" s="87" t="str">
        <f>"Total Depreciation in "&amp;CompareYear&amp;" $'s including inflation"</f>
        <v>Total Depreciation in 2010 $'s including inflation</v>
      </c>
      <c r="C94" s="45"/>
      <c r="D94" s="206" t="s">
        <v>99</v>
      </c>
      <c r="E94" s="81" t="s">
        <v>25</v>
      </c>
      <c r="F94" s="82">
        <v>1</v>
      </c>
      <c r="G94" s="82">
        <f aca="true" t="shared" si="40" ref="G94:V94">IF(CompareYear="Nominal",1+G5,1)</f>
        <v>1</v>
      </c>
      <c r="H94" s="82">
        <f t="shared" si="40"/>
        <v>1</v>
      </c>
      <c r="I94" s="82">
        <f t="shared" si="40"/>
        <v>1</v>
      </c>
      <c r="J94" s="82">
        <f t="shared" si="40"/>
        <v>1</v>
      </c>
      <c r="K94" s="82">
        <f t="shared" si="40"/>
        <v>1</v>
      </c>
      <c r="L94" s="82">
        <f t="shared" si="40"/>
        <v>1</v>
      </c>
      <c r="M94" s="82">
        <f t="shared" si="40"/>
        <v>1</v>
      </c>
      <c r="N94" s="82">
        <f t="shared" si="40"/>
        <v>1</v>
      </c>
      <c r="O94" s="82">
        <f t="shared" si="40"/>
        <v>1</v>
      </c>
      <c r="P94" s="82">
        <f t="shared" si="40"/>
        <v>1</v>
      </c>
      <c r="Q94" s="82">
        <f t="shared" si="40"/>
        <v>1</v>
      </c>
      <c r="R94" s="82">
        <f t="shared" si="40"/>
        <v>1</v>
      </c>
      <c r="S94" s="82">
        <f t="shared" si="40"/>
        <v>1</v>
      </c>
      <c r="T94" s="82">
        <f t="shared" si="40"/>
        <v>1</v>
      </c>
      <c r="U94" s="82">
        <f t="shared" si="40"/>
        <v>1</v>
      </c>
      <c r="V94" s="82">
        <f t="shared" si="40"/>
        <v>1</v>
      </c>
    </row>
    <row r="95" spans="1:22" ht="12.75">
      <c r="A95" s="115">
        <f>ROW()</f>
        <v>95</v>
      </c>
      <c r="B95" s="89" t="s">
        <v>11</v>
      </c>
      <c r="C95" s="28"/>
      <c r="D95" s="207">
        <f>K102/K95</f>
        <v>48.96160765670976</v>
      </c>
      <c r="E95" s="28"/>
      <c r="F95" s="29"/>
      <c r="G95" s="29">
        <f>G69</f>
        <v>33.24112437740914</v>
      </c>
      <c r="H95" s="29">
        <f aca="true" t="shared" si="41" ref="H95:Q95">H69</f>
        <v>33.249934639729716</v>
      </c>
      <c r="I95" s="29">
        <f t="shared" si="41"/>
        <v>33.255671554729155</v>
      </c>
      <c r="J95" s="29">
        <f t="shared" si="41"/>
        <v>33.25890881390741</v>
      </c>
      <c r="K95" s="29">
        <f t="shared" si="41"/>
        <v>33.26624386951384</v>
      </c>
      <c r="L95" s="29">
        <f t="shared" si="41"/>
        <v>33.28051365205474</v>
      </c>
      <c r="M95" s="29">
        <f t="shared" si="41"/>
        <v>33.35861048725126</v>
      </c>
      <c r="N95" s="29">
        <f t="shared" si="41"/>
        <v>33.458291187084605</v>
      </c>
      <c r="O95" s="29">
        <f t="shared" si="41"/>
        <v>37.8707195113532</v>
      </c>
      <c r="P95" s="29">
        <f t="shared" si="41"/>
        <v>42.625560157785465</v>
      </c>
      <c r="Q95" s="29">
        <f t="shared" si="41"/>
        <v>44.0760650785841</v>
      </c>
      <c r="R95" s="66">
        <f>(K95+R78+R86+SUM(L86:Q86)+SUM(L78:Q78))*R$94</f>
        <v>51.56362350235003</v>
      </c>
      <c r="S95" s="29">
        <f>(R95+S78+S86)*S$94</f>
        <v>51.96628774073535</v>
      </c>
      <c r="T95" s="29">
        <f aca="true" t="shared" si="42" ref="T95:V98">IF(T69&lt;&gt;0,T69,(S95+T78+T86)*T$94)</f>
        <v>52.02271631216392</v>
      </c>
      <c r="U95" s="29">
        <f t="shared" si="42"/>
        <v>52.083502026449636</v>
      </c>
      <c r="V95" s="29">
        <f t="shared" si="42"/>
        <v>52.09228774073535</v>
      </c>
    </row>
    <row r="96" spans="1:22" ht="12.75">
      <c r="A96" s="115">
        <f>ROW()</f>
        <v>96</v>
      </c>
      <c r="B96" s="89" t="s">
        <v>12</v>
      </c>
      <c r="C96" s="28"/>
      <c r="D96" s="207">
        <f>K103/K96</f>
        <v>12.952442971299906</v>
      </c>
      <c r="E96" s="28"/>
      <c r="F96" s="29"/>
      <c r="G96" s="29">
        <f>G70</f>
        <v>16.208313315866093</v>
      </c>
      <c r="H96" s="29">
        <f aca="true" t="shared" si="43" ref="H96:Q96">H70</f>
        <v>16.254208635861616</v>
      </c>
      <c r="I96" s="29">
        <f t="shared" si="43"/>
        <v>16.462171804591335</v>
      </c>
      <c r="J96" s="29">
        <f t="shared" si="43"/>
        <v>16.674915735820587</v>
      </c>
      <c r="K96" s="29">
        <f t="shared" si="43"/>
        <v>16.762403689562056</v>
      </c>
      <c r="L96" s="29">
        <f t="shared" si="43"/>
        <v>15.235299500120503</v>
      </c>
      <c r="M96" s="29">
        <f t="shared" si="43"/>
        <v>15.314960248873927</v>
      </c>
      <c r="N96" s="29">
        <f t="shared" si="43"/>
        <v>18.100601215007504</v>
      </c>
      <c r="O96" s="29">
        <f t="shared" si="43"/>
        <v>22.8513000981757</v>
      </c>
      <c r="P96" s="29">
        <f t="shared" si="43"/>
        <v>24.487825993177164</v>
      </c>
      <c r="Q96" s="29">
        <f t="shared" si="43"/>
        <v>24.504440699683258</v>
      </c>
      <c r="R96" s="66">
        <f>(K96+R79+R87+SUM(L87:Q87)+SUM(L79:Q79))*R$94</f>
        <v>30.323496367320118</v>
      </c>
      <c r="S96" s="29">
        <f>IF(S70&lt;&gt;0,S70,(R96+S79+S87)*S$94)</f>
        <v>31.629899081286208</v>
      </c>
      <c r="T96" s="29">
        <f t="shared" si="42"/>
        <v>31.872322414619543</v>
      </c>
      <c r="U96" s="29">
        <f t="shared" si="42"/>
        <v>31.96432241461954</v>
      </c>
      <c r="V96" s="29">
        <f t="shared" si="42"/>
        <v>32.080989081286205</v>
      </c>
    </row>
    <row r="97" spans="1:22" ht="12.75">
      <c r="A97" s="115">
        <f>ROW()</f>
        <v>97</v>
      </c>
      <c r="B97" s="89" t="s">
        <v>13</v>
      </c>
      <c r="C97" s="28"/>
      <c r="D97" s="207">
        <f>K104/K97</f>
        <v>38.33239447965456</v>
      </c>
      <c r="E97" s="28"/>
      <c r="F97" s="29"/>
      <c r="G97" s="29">
        <f>G71</f>
        <v>0.6548687490923285</v>
      </c>
      <c r="H97" s="29">
        <f aca="true" t="shared" si="44" ref="H97:Q97">H71</f>
        <v>0.6548687490923285</v>
      </c>
      <c r="I97" s="29">
        <f t="shared" si="44"/>
        <v>0.6563029778421886</v>
      </c>
      <c r="J97" s="29">
        <f t="shared" si="44"/>
        <v>0.6577372065920487</v>
      </c>
      <c r="K97" s="29">
        <f t="shared" si="44"/>
        <v>0.6591714353419089</v>
      </c>
      <c r="L97" s="29">
        <f t="shared" si="44"/>
        <v>0.723773294996058</v>
      </c>
      <c r="M97" s="29">
        <f t="shared" si="44"/>
        <v>0.751184796391442</v>
      </c>
      <c r="N97" s="29">
        <f t="shared" si="44"/>
        <v>0.7810890063414452</v>
      </c>
      <c r="O97" s="29">
        <f t="shared" si="44"/>
        <v>0.7848271268228603</v>
      </c>
      <c r="P97" s="29">
        <f t="shared" si="44"/>
        <v>0.7848271268228603</v>
      </c>
      <c r="Q97" s="29">
        <f t="shared" si="44"/>
        <v>0.7848271268228603</v>
      </c>
      <c r="R97" s="66">
        <f>(K97+R80+R88+SUM(L88:Q88)+SUM(L80:Q80))*R$94</f>
        <v>1.0909813217480222</v>
      </c>
      <c r="S97" s="29">
        <f>IF(S71&lt;&gt;0,S71,(R97+S80+S88)*S$94)</f>
        <v>1.806950780076225</v>
      </c>
      <c r="T97" s="29">
        <f t="shared" si="42"/>
        <v>1.8710262774042732</v>
      </c>
      <c r="U97" s="29">
        <f t="shared" si="42"/>
        <v>1.9535953218268085</v>
      </c>
      <c r="V97" s="29">
        <f t="shared" si="42"/>
        <v>2.0066953218268084</v>
      </c>
    </row>
    <row r="98" spans="1:22" ht="12.75">
      <c r="A98" s="115">
        <f>ROW()</f>
        <v>98</v>
      </c>
      <c r="B98" s="89" t="s">
        <v>14</v>
      </c>
      <c r="C98" s="28"/>
      <c r="D98" s="207">
        <f>K105/K98</f>
        <v>11.267328980309625</v>
      </c>
      <c r="E98" s="28"/>
      <c r="F98" s="29"/>
      <c r="G98" s="29">
        <f>G72</f>
        <v>4.056546860115326</v>
      </c>
      <c r="H98" s="29">
        <f aca="true" t="shared" si="45" ref="H98:Q98">H72</f>
        <v>4.298549057841724</v>
      </c>
      <c r="I98" s="29">
        <f t="shared" si="45"/>
        <v>4.5392604496932485</v>
      </c>
      <c r="J98" s="29">
        <f t="shared" si="45"/>
        <v>4.8127200646665775</v>
      </c>
      <c r="K98" s="29">
        <f t="shared" si="45"/>
        <v>5.038372054644571</v>
      </c>
      <c r="L98" s="29">
        <f t="shared" si="45"/>
        <v>4.453524752909569</v>
      </c>
      <c r="M98" s="29">
        <f t="shared" si="45"/>
        <v>4.615917132388283</v>
      </c>
      <c r="N98" s="29">
        <f t="shared" si="45"/>
        <v>4.74467136967302</v>
      </c>
      <c r="O98" s="29">
        <f t="shared" si="45"/>
        <v>4.80905011129739</v>
      </c>
      <c r="P98" s="29">
        <f t="shared" si="45"/>
        <v>5.030850851437084</v>
      </c>
      <c r="Q98" s="29">
        <f t="shared" si="45"/>
        <v>5.294609317221375</v>
      </c>
      <c r="R98" s="66">
        <f>(K98+R81+R89+SUM(L89:Q89)+SUM(L81:Q81))*R$94</f>
        <v>7.906407405066089</v>
      </c>
      <c r="S98" s="29">
        <f>IF(S72&lt;&gt;0,S72,(R98+S81+S89)*S$94)</f>
        <v>10.409882833752782</v>
      </c>
      <c r="T98" s="29">
        <f t="shared" si="42"/>
        <v>10.568049500419448</v>
      </c>
      <c r="U98" s="29">
        <f t="shared" si="42"/>
        <v>10.706549500419449</v>
      </c>
      <c r="V98" s="29">
        <f t="shared" si="42"/>
        <v>10.931716167086115</v>
      </c>
    </row>
    <row r="99" spans="1:22" ht="13.5" thickBot="1">
      <c r="A99" s="115">
        <f>ROW()</f>
        <v>99</v>
      </c>
      <c r="B99" s="90" t="s">
        <v>15</v>
      </c>
      <c r="C99" s="49"/>
      <c r="D99" s="49"/>
      <c r="E99" s="49"/>
      <c r="F99" s="68"/>
      <c r="G99" s="68">
        <f aca="true" t="shared" si="46" ref="G99:V99">SUM(G95:G98)</f>
        <v>54.16085330248289</v>
      </c>
      <c r="H99" s="68">
        <f t="shared" si="46"/>
        <v>54.45756108252539</v>
      </c>
      <c r="I99" s="68">
        <f t="shared" si="46"/>
        <v>54.91340678685593</v>
      </c>
      <c r="J99" s="68">
        <f t="shared" si="46"/>
        <v>55.404281820986625</v>
      </c>
      <c r="K99" s="68">
        <f t="shared" si="46"/>
        <v>55.72619104906238</v>
      </c>
      <c r="L99" s="68">
        <f t="shared" si="46"/>
        <v>53.69311120008088</v>
      </c>
      <c r="M99" s="68">
        <f t="shared" si="46"/>
        <v>54.04067266490491</v>
      </c>
      <c r="N99" s="68">
        <f t="shared" si="46"/>
        <v>57.08465277810658</v>
      </c>
      <c r="O99" s="68">
        <f t="shared" si="46"/>
        <v>66.31589684764916</v>
      </c>
      <c r="P99" s="68">
        <f t="shared" si="46"/>
        <v>72.92906412922257</v>
      </c>
      <c r="Q99" s="68">
        <f t="shared" si="46"/>
        <v>74.6599422223116</v>
      </c>
      <c r="R99" s="68">
        <f t="shared" si="46"/>
        <v>90.88450859648427</v>
      </c>
      <c r="S99" s="68">
        <f t="shared" si="46"/>
        <v>95.81302043585058</v>
      </c>
      <c r="T99" s="68">
        <f t="shared" si="46"/>
        <v>96.33411450460719</v>
      </c>
      <c r="U99" s="68">
        <f t="shared" si="46"/>
        <v>96.70796926331545</v>
      </c>
      <c r="V99" s="68">
        <f t="shared" si="46"/>
        <v>97.11168831093448</v>
      </c>
    </row>
    <row r="100" spans="1:4" ht="13.5" thickBot="1">
      <c r="A100" s="115">
        <f>ROW()</f>
        <v>100</v>
      </c>
      <c r="D100"/>
    </row>
    <row r="101" spans="1:22" ht="12.75">
      <c r="A101" s="115">
        <f>ROW()</f>
        <v>101</v>
      </c>
      <c r="B101" s="87" t="str">
        <f>"Capital Base in "&amp;CompareYear&amp;" $'s"</f>
        <v>Capital Base in 2010 $'s</v>
      </c>
      <c r="C101" s="45"/>
      <c r="D101" s="45"/>
      <c r="E101" s="81" t="s">
        <v>25</v>
      </c>
      <c r="F101" s="82">
        <f aca="true" t="shared" si="47" ref="F101:V101">IF(CompareYear="Nominal",1+F5,1)</f>
        <v>1</v>
      </c>
      <c r="G101" s="82">
        <f t="shared" si="47"/>
        <v>1</v>
      </c>
      <c r="H101" s="82">
        <f t="shared" si="47"/>
        <v>1</v>
      </c>
      <c r="I101" s="82">
        <f t="shared" si="47"/>
        <v>1</v>
      </c>
      <c r="J101" s="82">
        <f t="shared" si="47"/>
        <v>1</v>
      </c>
      <c r="K101" s="82">
        <f t="shared" si="47"/>
        <v>1</v>
      </c>
      <c r="L101" s="82">
        <f t="shared" si="47"/>
        <v>1</v>
      </c>
      <c r="M101" s="82">
        <f t="shared" si="47"/>
        <v>1</v>
      </c>
      <c r="N101" s="82">
        <f t="shared" si="47"/>
        <v>1</v>
      </c>
      <c r="O101" s="82">
        <f t="shared" si="47"/>
        <v>1</v>
      </c>
      <c r="P101" s="82">
        <f t="shared" si="47"/>
        <v>1</v>
      </c>
      <c r="Q101" s="82">
        <f t="shared" si="47"/>
        <v>1</v>
      </c>
      <c r="R101" s="82">
        <f t="shared" si="47"/>
        <v>1</v>
      </c>
      <c r="S101" s="82">
        <f t="shared" si="47"/>
        <v>1</v>
      </c>
      <c r="T101" s="82">
        <f t="shared" si="47"/>
        <v>1</v>
      </c>
      <c r="U101" s="82">
        <f t="shared" si="47"/>
        <v>1</v>
      </c>
      <c r="V101" s="82">
        <f t="shared" si="47"/>
        <v>1</v>
      </c>
    </row>
    <row r="102" spans="1:22" ht="12.75">
      <c r="A102" s="115">
        <f>ROW()</f>
        <v>102</v>
      </c>
      <c r="B102" s="89" t="s">
        <v>11</v>
      </c>
      <c r="C102" s="28"/>
      <c r="D102" s="28"/>
      <c r="E102" s="28"/>
      <c r="F102" s="29">
        <f>F49</f>
        <v>1792.288804885891</v>
      </c>
      <c r="G102" s="29">
        <f aca="true" t="shared" si="48" ref="G102:V102">((F102)*G$101)-G95+G49+G60</f>
        <v>1760.9236358536684</v>
      </c>
      <c r="H102" s="29">
        <f t="shared" si="48"/>
        <v>1727.7132170559448</v>
      </c>
      <c r="I102" s="29">
        <f t="shared" si="48"/>
        <v>1694.539157173723</v>
      </c>
      <c r="J102" s="29">
        <f t="shared" si="48"/>
        <v>1661.2802748000022</v>
      </c>
      <c r="K102" s="29">
        <f t="shared" si="48"/>
        <v>1628.7687805515632</v>
      </c>
      <c r="L102" s="29">
        <f t="shared" si="48"/>
        <v>1604.9316837378105</v>
      </c>
      <c r="M102" s="29">
        <f t="shared" si="48"/>
        <v>1832.1797380854982</v>
      </c>
      <c r="N102" s="29">
        <f t="shared" si="48"/>
        <v>1801.7719688042564</v>
      </c>
      <c r="O102" s="29">
        <f t="shared" si="48"/>
        <v>2280.9025704112787</v>
      </c>
      <c r="P102" s="29">
        <f t="shared" si="48"/>
        <v>2238.2770102534932</v>
      </c>
      <c r="Q102" s="29">
        <f t="shared" si="48"/>
        <v>2684.160845154909</v>
      </c>
      <c r="R102" s="29">
        <f t="shared" si="48"/>
        <v>2660.7837183395313</v>
      </c>
      <c r="S102" s="29">
        <f t="shared" si="48"/>
        <v>2612.7674305987957</v>
      </c>
      <c r="T102" s="29">
        <f t="shared" si="48"/>
        <v>2564.999714286632</v>
      </c>
      <c r="U102" s="29">
        <f t="shared" si="48"/>
        <v>2513.531212260182</v>
      </c>
      <c r="V102" s="29">
        <f t="shared" si="48"/>
        <v>2462.253924519447</v>
      </c>
    </row>
    <row r="103" spans="1:22" ht="12.75">
      <c r="A103" s="115">
        <f>ROW()</f>
        <v>103</v>
      </c>
      <c r="B103" s="89" t="s">
        <v>12</v>
      </c>
      <c r="C103" s="28"/>
      <c r="D103" s="28"/>
      <c r="E103" s="28"/>
      <c r="F103" s="29">
        <f>F50</f>
        <v>300.2461354808617</v>
      </c>
      <c r="G103" s="29">
        <f aca="true" t="shared" si="49" ref="G103:V103">((F103)*G$101)-G96+G50+G61</f>
        <v>281.3398073623166</v>
      </c>
      <c r="H103" s="29">
        <f t="shared" si="49"/>
        <v>266.8279047784384</v>
      </c>
      <c r="I103" s="29">
        <f t="shared" si="49"/>
        <v>250.4720758576887</v>
      </c>
      <c r="J103" s="29">
        <f t="shared" si="49"/>
        <v>233.65358030212676</v>
      </c>
      <c r="K103" s="29">
        <f t="shared" si="49"/>
        <v>217.11407785095966</v>
      </c>
      <c r="L103" s="29">
        <f t="shared" si="49"/>
        <v>245.9383192530583</v>
      </c>
      <c r="M103" s="29">
        <f t="shared" si="49"/>
        <v>402.7101740647503</v>
      </c>
      <c r="N103" s="29">
        <f t="shared" si="49"/>
        <v>384.7570671529138</v>
      </c>
      <c r="O103" s="29">
        <f t="shared" si="49"/>
        <v>494.76132407300526</v>
      </c>
      <c r="P103" s="29">
        <f t="shared" si="49"/>
        <v>475.4730527499518</v>
      </c>
      <c r="Q103" s="29">
        <f t="shared" si="49"/>
        <v>503.2295291902686</v>
      </c>
      <c r="R103" s="29">
        <f t="shared" si="49"/>
        <v>512.0981142419312</v>
      </c>
      <c r="S103" s="29">
        <f t="shared" si="49"/>
        <v>487.74091516064493</v>
      </c>
      <c r="T103" s="29">
        <f t="shared" si="49"/>
        <v>458.6285927460254</v>
      </c>
      <c r="U103" s="29">
        <f t="shared" si="49"/>
        <v>430.1642703314059</v>
      </c>
      <c r="V103" s="29">
        <f t="shared" si="49"/>
        <v>404.7732812501197</v>
      </c>
    </row>
    <row r="104" spans="1:22" ht="12.75">
      <c r="A104" s="115">
        <f>ROW()</f>
        <v>104</v>
      </c>
      <c r="B104" s="89" t="s">
        <v>13</v>
      </c>
      <c r="C104" s="28"/>
      <c r="D104" s="28"/>
      <c r="E104" s="28"/>
      <c r="F104" s="29">
        <f>F51</f>
        <v>24.622530020700122</v>
      </c>
      <c r="G104" s="29">
        <f aca="true" t="shared" si="50" ref="G104:V104">((F104)*G$101)-G97+G51+G62</f>
        <v>24.740423586204066</v>
      </c>
      <c r="H104" s="29">
        <f t="shared" si="50"/>
        <v>24.794079142730137</v>
      </c>
      <c r="I104" s="29">
        <f t="shared" si="50"/>
        <v>24.594681256420206</v>
      </c>
      <c r="J104" s="29">
        <f t="shared" si="50"/>
        <v>23.89721224107097</v>
      </c>
      <c r="K104" s="29">
        <f t="shared" si="50"/>
        <v>25.26761948924616</v>
      </c>
      <c r="L104" s="29">
        <f t="shared" si="50"/>
        <v>26.680467704149432</v>
      </c>
      <c r="M104" s="29">
        <f t="shared" si="50"/>
        <v>29.42753597687053</v>
      </c>
      <c r="N104" s="29">
        <f t="shared" si="50"/>
        <v>33.98749879016704</v>
      </c>
      <c r="O104" s="29">
        <f t="shared" si="50"/>
        <v>34.77802429167149</v>
      </c>
      <c r="P104" s="29">
        <f t="shared" si="50"/>
        <v>35.27956824466006</v>
      </c>
      <c r="Q104" s="29">
        <f t="shared" si="50"/>
        <v>40.2180066478372</v>
      </c>
      <c r="R104" s="29">
        <f t="shared" si="50"/>
        <v>74.92549824249932</v>
      </c>
      <c r="S104" s="29">
        <f t="shared" si="50"/>
        <v>76.32232232882549</v>
      </c>
      <c r="T104" s="29">
        <f t="shared" si="50"/>
        <v>78.579748272548</v>
      </c>
      <c r="U104" s="29">
        <f t="shared" si="50"/>
        <v>79.2811529507212</v>
      </c>
      <c r="V104" s="29">
        <f t="shared" si="50"/>
        <v>77.42945762889438</v>
      </c>
    </row>
    <row r="105" spans="1:22" ht="12.75">
      <c r="A105" s="115">
        <f>ROW()</f>
        <v>105</v>
      </c>
      <c r="B105" s="89" t="s">
        <v>18</v>
      </c>
      <c r="C105" s="28"/>
      <c r="D105" s="28"/>
      <c r="E105" s="28"/>
      <c r="F105" s="29">
        <f>F52</f>
        <v>67.62265014967798</v>
      </c>
      <c r="G105" s="29">
        <f aca="true" t="shared" si="51" ref="G105:V105">((F105)*G$101)-G98+G52+G63</f>
        <v>70.4543650585844</v>
      </c>
      <c r="H105" s="29">
        <f t="shared" si="51"/>
        <v>67.95548806837465</v>
      </c>
      <c r="I105" s="29">
        <f t="shared" si="51"/>
        <v>64.3735632229556</v>
      </c>
      <c r="J105" s="29">
        <f t="shared" si="51"/>
        <v>60.712123846313446</v>
      </c>
      <c r="K105" s="29">
        <f t="shared" si="51"/>
        <v>56.76899546487893</v>
      </c>
      <c r="L105" s="29">
        <f t="shared" si="51"/>
        <v>52.38860409724643</v>
      </c>
      <c r="M105" s="29">
        <f t="shared" si="51"/>
        <v>48.652141705989976</v>
      </c>
      <c r="N105" s="29">
        <f t="shared" si="51"/>
        <v>46.20645277649349</v>
      </c>
      <c r="O105" s="29">
        <f t="shared" si="51"/>
        <v>47.272671863703806</v>
      </c>
      <c r="P105" s="29">
        <f t="shared" si="51"/>
        <v>42.71246360206675</v>
      </c>
      <c r="Q105" s="29">
        <f t="shared" si="51"/>
        <v>112.76618876938765</v>
      </c>
      <c r="R105" s="29">
        <f t="shared" si="51"/>
        <v>179.9640442249224</v>
      </c>
      <c r="S105" s="29">
        <f t="shared" si="51"/>
        <v>174.2991613911696</v>
      </c>
      <c r="T105" s="29">
        <f t="shared" si="51"/>
        <v>167.88611189075016</v>
      </c>
      <c r="U105" s="29">
        <f t="shared" si="51"/>
        <v>163.9345623903307</v>
      </c>
      <c r="V105" s="29">
        <f t="shared" si="51"/>
        <v>159.1578462232446</v>
      </c>
    </row>
    <row r="106" spans="1:22" ht="12.75">
      <c r="A106" s="115">
        <f>ROW()</f>
        <v>106</v>
      </c>
      <c r="B106" s="89" t="s">
        <v>19</v>
      </c>
      <c r="C106" s="28"/>
      <c r="D106" s="28"/>
      <c r="E106" s="28"/>
      <c r="F106" s="29">
        <f>F53</f>
        <v>14.527132926601467</v>
      </c>
      <c r="G106" s="29">
        <f aca="true" t="shared" si="52" ref="G106:V106">((F106)*G$101)+G53</f>
        <v>14.527132926601467</v>
      </c>
      <c r="H106" s="29">
        <f t="shared" si="52"/>
        <v>14.527132926601467</v>
      </c>
      <c r="I106" s="29">
        <f t="shared" si="52"/>
        <v>14.527132926601467</v>
      </c>
      <c r="J106" s="29">
        <f t="shared" si="52"/>
        <v>14.527132926601467</v>
      </c>
      <c r="K106" s="29">
        <f t="shared" si="52"/>
        <v>14.527132926601467</v>
      </c>
      <c r="L106" s="29">
        <f t="shared" si="52"/>
        <v>12.269073612990795</v>
      </c>
      <c r="M106" s="29">
        <f t="shared" si="52"/>
        <v>12.13489380251491</v>
      </c>
      <c r="N106" s="29">
        <f t="shared" si="52"/>
        <v>14.084934868307668</v>
      </c>
      <c r="O106" s="29">
        <f t="shared" si="52"/>
        <v>15.567668025064588</v>
      </c>
      <c r="P106" s="29">
        <f t="shared" si="52"/>
        <v>16.246107317115264</v>
      </c>
      <c r="Q106" s="29">
        <f t="shared" si="52"/>
        <v>16.912169467115262</v>
      </c>
      <c r="R106" s="29">
        <f t="shared" si="52"/>
        <v>16.912169467115262</v>
      </c>
      <c r="S106" s="29">
        <f t="shared" si="52"/>
        <v>16.912169467115262</v>
      </c>
      <c r="T106" s="29">
        <f t="shared" si="52"/>
        <v>16.912169467115262</v>
      </c>
      <c r="U106" s="29">
        <f t="shared" si="52"/>
        <v>16.912169467115262</v>
      </c>
      <c r="V106" s="29">
        <f t="shared" si="52"/>
        <v>16.912169467115262</v>
      </c>
    </row>
    <row r="107" spans="1:22" ht="13.5" thickBot="1">
      <c r="A107" s="115">
        <f>ROW()</f>
        <v>107</v>
      </c>
      <c r="B107" s="90" t="s">
        <v>15</v>
      </c>
      <c r="C107" s="49"/>
      <c r="D107" s="49"/>
      <c r="E107" s="49"/>
      <c r="F107" s="68">
        <f aca="true" t="shared" si="53" ref="F107:V107">SUM(F102:F106)</f>
        <v>2199.3072534637326</v>
      </c>
      <c r="G107" s="68">
        <f t="shared" si="53"/>
        <v>2151.9853647873747</v>
      </c>
      <c r="H107" s="68">
        <f t="shared" si="53"/>
        <v>2101.8178219720894</v>
      </c>
      <c r="I107" s="68">
        <f t="shared" si="53"/>
        <v>2048.506610437389</v>
      </c>
      <c r="J107" s="68">
        <f t="shared" si="53"/>
        <v>1994.070324116115</v>
      </c>
      <c r="K107" s="68">
        <f t="shared" si="53"/>
        <v>1942.4466062832496</v>
      </c>
      <c r="L107" s="68">
        <f t="shared" si="53"/>
        <v>1942.2081484052553</v>
      </c>
      <c r="M107" s="68">
        <f t="shared" si="53"/>
        <v>2325.1044836356236</v>
      </c>
      <c r="N107" s="68">
        <f t="shared" si="53"/>
        <v>2280.807922392138</v>
      </c>
      <c r="O107" s="68">
        <f t="shared" si="53"/>
        <v>2873.2822586647235</v>
      </c>
      <c r="P107" s="68">
        <f t="shared" si="53"/>
        <v>2807.988202167287</v>
      </c>
      <c r="Q107" s="68">
        <f t="shared" si="53"/>
        <v>3357.286739229518</v>
      </c>
      <c r="R107" s="68">
        <f t="shared" si="53"/>
        <v>3444.6835445159995</v>
      </c>
      <c r="S107" s="68">
        <f t="shared" si="53"/>
        <v>3368.041998946551</v>
      </c>
      <c r="T107" s="68">
        <f t="shared" si="53"/>
        <v>3287.0063366630707</v>
      </c>
      <c r="U107" s="68">
        <f t="shared" si="53"/>
        <v>3203.823367399755</v>
      </c>
      <c r="V107" s="68">
        <f t="shared" si="53"/>
        <v>3120.526679088821</v>
      </c>
    </row>
    <row r="108" ht="13.5" thickBot="1">
      <c r="A108" s="115">
        <f>ROW()</f>
        <v>108</v>
      </c>
    </row>
    <row r="109" spans="1:23" ht="12.75">
      <c r="A109" s="115">
        <f>ROW()</f>
        <v>109</v>
      </c>
      <c r="B109" s="87" t="str">
        <f>"Return on Assets in "&amp;CompareYear&amp;" $'s"</f>
        <v>Return on Assets in 2010 $'s</v>
      </c>
      <c r="C109" s="45"/>
      <c r="D109" s="77"/>
      <c r="E109" s="77"/>
      <c r="F109" s="45"/>
      <c r="G109" s="46">
        <f aca="true" t="shared" si="54" ref="G109:V109">F107*WACC*G101</f>
        <v>220.52803856024167</v>
      </c>
      <c r="H109" s="46">
        <f t="shared" si="54"/>
        <v>215.78299746863078</v>
      </c>
      <c r="I109" s="46">
        <f t="shared" si="54"/>
        <v>210.7526181075761</v>
      </c>
      <c r="J109" s="46">
        <f t="shared" si="54"/>
        <v>205.4070180807941</v>
      </c>
      <c r="K109" s="46">
        <f t="shared" si="54"/>
        <v>199.94860501457617</v>
      </c>
      <c r="L109" s="46">
        <f t="shared" si="54"/>
        <v>194.77221266696782</v>
      </c>
      <c r="M109" s="46">
        <f t="shared" si="54"/>
        <v>194.74830211602935</v>
      </c>
      <c r="N109" s="46">
        <f t="shared" si="54"/>
        <v>233.14192703918306</v>
      </c>
      <c r="O109" s="46">
        <f t="shared" si="54"/>
        <v>228.7002403441546</v>
      </c>
      <c r="P109" s="46">
        <f t="shared" si="54"/>
        <v>288.1085849807212</v>
      </c>
      <c r="Q109" s="46">
        <f t="shared" si="54"/>
        <v>281.56144601851224</v>
      </c>
      <c r="R109" s="46">
        <f t="shared" si="54"/>
        <v>336.6404845528348</v>
      </c>
      <c r="S109" s="46">
        <f t="shared" si="54"/>
        <v>345.40390131322835</v>
      </c>
      <c r="T109" s="46">
        <f t="shared" si="54"/>
        <v>337.71893156194085</v>
      </c>
      <c r="U109" s="46">
        <f t="shared" si="54"/>
        <v>329.59335673438494</v>
      </c>
      <c r="V109" s="46">
        <f t="shared" si="54"/>
        <v>321.2524680184653</v>
      </c>
      <c r="W109" s="4"/>
    </row>
    <row r="110" spans="1:23" ht="13.5" thickBot="1">
      <c r="A110" s="115">
        <f>ROW()</f>
        <v>110</v>
      </c>
      <c r="B110" s="90" t="str">
        <f>"Depreciation in "&amp;CompareYear&amp;" $'s"</f>
        <v>Depreciation in 2010 $'s</v>
      </c>
      <c r="C110" s="49"/>
      <c r="D110" s="83"/>
      <c r="E110" s="83"/>
      <c r="F110" s="50"/>
      <c r="G110" s="50">
        <f>G99</f>
        <v>54.16085330248289</v>
      </c>
      <c r="H110" s="50">
        <f aca="true" t="shared" si="55" ref="H110:V110">H99</f>
        <v>54.45756108252539</v>
      </c>
      <c r="I110" s="50">
        <f t="shared" si="55"/>
        <v>54.91340678685593</v>
      </c>
      <c r="J110" s="50">
        <f t="shared" si="55"/>
        <v>55.404281820986625</v>
      </c>
      <c r="K110" s="50">
        <f t="shared" si="55"/>
        <v>55.72619104906238</v>
      </c>
      <c r="L110" s="50">
        <f t="shared" si="55"/>
        <v>53.69311120008088</v>
      </c>
      <c r="M110" s="50">
        <f t="shared" si="55"/>
        <v>54.04067266490491</v>
      </c>
      <c r="N110" s="50">
        <f t="shared" si="55"/>
        <v>57.08465277810658</v>
      </c>
      <c r="O110" s="50">
        <f t="shared" si="55"/>
        <v>66.31589684764916</v>
      </c>
      <c r="P110" s="50">
        <f t="shared" si="55"/>
        <v>72.92906412922257</v>
      </c>
      <c r="Q110" s="50">
        <f t="shared" si="55"/>
        <v>74.6599422223116</v>
      </c>
      <c r="R110" s="50">
        <f t="shared" si="55"/>
        <v>90.88450859648427</v>
      </c>
      <c r="S110" s="50">
        <f t="shared" si="55"/>
        <v>95.81302043585058</v>
      </c>
      <c r="T110" s="50">
        <f t="shared" si="55"/>
        <v>96.33411450460719</v>
      </c>
      <c r="U110" s="50">
        <f t="shared" si="55"/>
        <v>96.70796926331545</v>
      </c>
      <c r="V110" s="50">
        <f t="shared" si="55"/>
        <v>97.11168831093448</v>
      </c>
      <c r="W110" s="4"/>
    </row>
    <row r="111" ht="12.75">
      <c r="A111" s="115">
        <f>ROW()</f>
        <v>111</v>
      </c>
    </row>
    <row r="112" ht="13.5" thickBot="1">
      <c r="A112" s="115">
        <f>ROW()</f>
        <v>112</v>
      </c>
    </row>
    <row r="113" spans="1:22" ht="13.5" thickBot="1">
      <c r="A113" s="115">
        <f>ROW()</f>
        <v>113</v>
      </c>
      <c r="B113" s="136" t="s">
        <v>55</v>
      </c>
      <c r="C113" s="137"/>
      <c r="D113" s="138"/>
      <c r="E113" s="138"/>
      <c r="F113" s="219">
        <f>F107-SUM($F$64:F64)+SUM(E$91:$F91)</f>
        <v>2199.3072534637326</v>
      </c>
      <c r="G113" s="219">
        <f>G107-SUM($F$64:G64)+SUM($F$91:F91)</f>
        <v>2151.9853647873747</v>
      </c>
      <c r="H113" s="219">
        <f>H107-SUM($F$64:H64)+SUM($F$91:G91)</f>
        <v>2101.8178219720894</v>
      </c>
      <c r="I113" s="219">
        <f>I107-SUM($F$64:I64)+SUM($F$91:H91)</f>
        <v>2048.506610437389</v>
      </c>
      <c r="J113" s="219">
        <f>J107-SUM($F$64:J64)+SUM($F$91:I91)</f>
        <v>1994.070324116115</v>
      </c>
      <c r="K113" s="219">
        <f>K107-SUM($F$64:K64)+SUM($F$91:J91)</f>
        <v>1942.4466062832496</v>
      </c>
      <c r="L113" s="219">
        <f>L107-SUM($F$64:L64)+SUM($F$91:K91)</f>
        <v>1939.1796781808123</v>
      </c>
      <c r="M113" s="219">
        <f>M107-SUM($F$64:M64)+SUM($F$91:L91)</f>
        <v>2315.3486036559975</v>
      </c>
      <c r="N113" s="219">
        <f>N107-SUM($F$64:N64)+SUM($F$91:M91)</f>
        <v>2263.906323939965</v>
      </c>
      <c r="O113" s="219">
        <f>O107-SUM($F$64:O64)+SUM($F$91:N91)</f>
        <v>2854.8027924572675</v>
      </c>
      <c r="P113" s="219">
        <f>P107-SUM($F$64:P64)+SUM($F$91:O91)</f>
        <v>2783.1009651669733</v>
      </c>
      <c r="Q113" s="219">
        <f>Q107-SUM($F$64:Q64)+SUM($F$91:P91)</f>
        <v>3331.388500409204</v>
      </c>
      <c r="R113" s="219">
        <f>R107-SUM($F$64:R64)+SUM($F$91:R91)</f>
        <v>3397.7796020329815</v>
      </c>
      <c r="S113" s="219">
        <f>S107-SUM($F$64:S64)+SUM($F$91:S91)</f>
        <v>3319.3565418697813</v>
      </c>
      <c r="T113" s="219">
        <f>T107-SUM($F$64:T64)+SUM($F$91:T91)</f>
        <v>3237.838757135154</v>
      </c>
      <c r="U113" s="219">
        <f>U107-SUM($F$64:U64)+SUM($F$91:U91)</f>
        <v>3155.6765866862406</v>
      </c>
      <c r="V113" s="219">
        <f>V107-SUM($F$64:V64)+SUM($F$91:V91)</f>
        <v>3073.4006971897084</v>
      </c>
    </row>
    <row r="114" spans="1:22" ht="12.75">
      <c r="A114" s="115">
        <f>ROW()</f>
        <v>114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3.5" thickBot="1">
      <c r="A115" s="115">
        <f>ROW()</f>
        <v>115</v>
      </c>
      <c r="B115" s="11" t="s">
        <v>105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3" ht="12.75">
      <c r="A116" s="115">
        <f>ROW()</f>
        <v>116</v>
      </c>
      <c r="B116" s="87" t="str">
        <f>"Return on Assets in "&amp;CompareYear&amp;" $'s"</f>
        <v>Return on Assets in 2010 $'s</v>
      </c>
      <c r="C116" s="45"/>
      <c r="D116" s="77"/>
      <c r="E116" s="77"/>
      <c r="F116" s="45"/>
      <c r="G116" s="46">
        <f aca="true" t="shared" si="56" ref="G116:V116">F113*WACC*G101</f>
        <v>220.52803856024167</v>
      </c>
      <c r="H116" s="46">
        <f t="shared" si="56"/>
        <v>215.78299746863078</v>
      </c>
      <c r="I116" s="46">
        <f t="shared" si="56"/>
        <v>210.7526181075761</v>
      </c>
      <c r="J116" s="46">
        <f t="shared" si="56"/>
        <v>205.4070180807941</v>
      </c>
      <c r="K116" s="46">
        <f t="shared" si="56"/>
        <v>199.94860501457617</v>
      </c>
      <c r="L116" s="46">
        <f t="shared" si="56"/>
        <v>194.77221266696782</v>
      </c>
      <c r="M116" s="46">
        <f t="shared" si="56"/>
        <v>194.44463258673431</v>
      </c>
      <c r="N116" s="46">
        <f t="shared" si="56"/>
        <v>232.16368942688595</v>
      </c>
      <c r="O116" s="46">
        <f t="shared" si="56"/>
        <v>227.005490168016</v>
      </c>
      <c r="P116" s="46">
        <f t="shared" si="56"/>
        <v>286.2556194935423</v>
      </c>
      <c r="Q116" s="46">
        <f t="shared" si="56"/>
        <v>279.0659631557975</v>
      </c>
      <c r="R116" s="46">
        <f t="shared" si="56"/>
        <v>334.0436269285926</v>
      </c>
      <c r="S116" s="46">
        <f t="shared" si="56"/>
        <v>340.70076835159597</v>
      </c>
      <c r="T116" s="46">
        <f t="shared" si="56"/>
        <v>332.83716329666566</v>
      </c>
      <c r="U116" s="46">
        <f t="shared" si="56"/>
        <v>324.66324528362264</v>
      </c>
      <c r="V116" s="46">
        <f t="shared" si="56"/>
        <v>316.4247136894513</v>
      </c>
      <c r="W116" s="4"/>
    </row>
    <row r="117" spans="1:23" ht="13.5" thickBot="1">
      <c r="A117" s="115">
        <f>ROW()</f>
        <v>117</v>
      </c>
      <c r="B117" s="90" t="str">
        <f>"Depreciation in "&amp;CompareYear&amp;" $'s"</f>
        <v>Depreciation in 2010 $'s</v>
      </c>
      <c r="C117" s="49"/>
      <c r="D117" s="83"/>
      <c r="E117" s="83"/>
      <c r="F117" s="50"/>
      <c r="G117" s="50">
        <f aca="true" t="shared" si="57" ref="G117:V117">G99-G91</f>
        <v>54.16085330248289</v>
      </c>
      <c r="H117" s="50">
        <f t="shared" si="57"/>
        <v>54.45756108252539</v>
      </c>
      <c r="I117" s="50">
        <f t="shared" si="57"/>
        <v>54.91340678685593</v>
      </c>
      <c r="J117" s="50">
        <f t="shared" si="57"/>
        <v>55.404281820986625</v>
      </c>
      <c r="K117" s="50">
        <f t="shared" si="57"/>
        <v>55.72619104906238</v>
      </c>
      <c r="L117" s="50">
        <f t="shared" si="57"/>
        <v>53.69311120008088</v>
      </c>
      <c r="M117" s="50">
        <f t="shared" si="57"/>
        <v>54.04067266490491</v>
      </c>
      <c r="N117" s="50">
        <f t="shared" si="57"/>
        <v>57.08465277810658</v>
      </c>
      <c r="O117" s="50">
        <f t="shared" si="57"/>
        <v>66.31589684764916</v>
      </c>
      <c r="P117" s="50">
        <f t="shared" si="57"/>
        <v>72.92906412922257</v>
      </c>
      <c r="Q117" s="50">
        <f t="shared" si="57"/>
        <v>74.6599422223116</v>
      </c>
      <c r="R117" s="50">
        <f t="shared" si="57"/>
        <v>90.32790931341505</v>
      </c>
      <c r="S117" s="50">
        <f t="shared" si="57"/>
        <v>94.87606016319921</v>
      </c>
      <c r="T117" s="50">
        <f t="shared" si="57"/>
        <v>95.34278473462778</v>
      </c>
      <c r="U117" s="50">
        <f t="shared" si="57"/>
        <v>95.6871704489135</v>
      </c>
      <c r="V117" s="50">
        <f t="shared" si="57"/>
        <v>96.09088949653254</v>
      </c>
      <c r="W117" s="4"/>
    </row>
    <row r="118" ht="12.75">
      <c r="A118" s="115">
        <f>ROW()</f>
        <v>118</v>
      </c>
    </row>
    <row r="119" spans="1:22" ht="12.75">
      <c r="A119" s="115">
        <f>ROW()</f>
        <v>119</v>
      </c>
      <c r="G119" s="220"/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</row>
    <row r="120" ht="12.75">
      <c r="A120" s="115">
        <f>ROW()</f>
        <v>120</v>
      </c>
    </row>
    <row r="121" spans="1:22" ht="12.75">
      <c r="A121" s="115">
        <f>ROW()</f>
        <v>121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ht="12.75">
      <c r="A122" s="115">
        <f>ROW()</f>
        <v>122</v>
      </c>
    </row>
    <row r="123" ht="12.75">
      <c r="A123" s="115">
        <f>ROW()</f>
        <v>123</v>
      </c>
    </row>
    <row r="124" ht="12.75">
      <c r="A124" s="115">
        <f>ROW()</f>
        <v>124</v>
      </c>
    </row>
    <row r="125" ht="12.75">
      <c r="A125" s="115">
        <f>ROW()</f>
        <v>125</v>
      </c>
    </row>
    <row r="126" ht="12.75">
      <c r="A126" s="115">
        <f>ROW()</f>
        <v>126</v>
      </c>
    </row>
    <row r="127" ht="12.75">
      <c r="A127" s="115">
        <f>ROW()</f>
        <v>127</v>
      </c>
    </row>
    <row r="128" ht="12.75">
      <c r="A128" s="115">
        <f>ROW()</f>
        <v>128</v>
      </c>
    </row>
    <row r="129" ht="12.75">
      <c r="A129" s="115">
        <f>ROW()</f>
        <v>129</v>
      </c>
    </row>
    <row r="130" ht="12.75">
      <c r="A130" s="115">
        <f>ROW()</f>
        <v>130</v>
      </c>
    </row>
    <row r="131" ht="12.75">
      <c r="A131" s="115">
        <f>ROW()</f>
        <v>131</v>
      </c>
    </row>
    <row r="132" ht="12.75">
      <c r="A132" s="115">
        <f>ROW()</f>
        <v>132</v>
      </c>
    </row>
    <row r="133" ht="12.75">
      <c r="A133" s="115">
        <f>ROW()</f>
        <v>133</v>
      </c>
    </row>
    <row r="134" ht="12.75">
      <c r="A134" s="115">
        <f>ROW()</f>
        <v>134</v>
      </c>
    </row>
    <row r="135" ht="12.75">
      <c r="A135" s="115">
        <f>ROW()</f>
        <v>135</v>
      </c>
    </row>
    <row r="136" ht="12.75">
      <c r="A136" s="115">
        <f>ROW()</f>
        <v>136</v>
      </c>
    </row>
    <row r="137" ht="12.75">
      <c r="A137" s="115">
        <f>ROW()</f>
        <v>137</v>
      </c>
    </row>
    <row r="138" ht="12.75">
      <c r="A138" s="115">
        <f>ROW()</f>
        <v>138</v>
      </c>
    </row>
    <row r="139" ht="12.75">
      <c r="A139" s="115">
        <f>ROW()</f>
        <v>139</v>
      </c>
    </row>
    <row r="140" ht="12.75">
      <c r="A140" s="115">
        <f>ROW()</f>
        <v>140</v>
      </c>
    </row>
    <row r="141" ht="12.75">
      <c r="A141" s="115">
        <f>ROW()</f>
        <v>141</v>
      </c>
    </row>
    <row r="142" ht="12.75">
      <c r="A142" s="115">
        <f>ROW()</f>
        <v>142</v>
      </c>
    </row>
    <row r="143" ht="12.75">
      <c r="A143" s="115">
        <f>ROW()</f>
        <v>143</v>
      </c>
    </row>
    <row r="144" ht="12.75">
      <c r="A144" s="115">
        <f>ROW()</f>
        <v>144</v>
      </c>
    </row>
    <row r="145" ht="12.75">
      <c r="A145" s="115">
        <f>ROW()</f>
        <v>145</v>
      </c>
    </row>
    <row r="146" ht="12.75">
      <c r="A146" s="115">
        <f>ROW()</f>
        <v>146</v>
      </c>
    </row>
    <row r="147" ht="12.75">
      <c r="A147" s="115">
        <f>ROW()</f>
        <v>147</v>
      </c>
    </row>
    <row r="148" ht="12.75">
      <c r="A148" s="115">
        <f>ROW()</f>
        <v>148</v>
      </c>
    </row>
    <row r="149" ht="12.75">
      <c r="A149" s="115">
        <f>ROW()</f>
        <v>149</v>
      </c>
    </row>
    <row r="150" ht="12.75">
      <c r="A150" s="115">
        <f>ROW()</f>
        <v>150</v>
      </c>
    </row>
    <row r="151" ht="12.75">
      <c r="A151" s="115">
        <f>ROW()</f>
        <v>151</v>
      </c>
    </row>
    <row r="152" ht="12.75">
      <c r="A152" s="115">
        <f>ROW()</f>
        <v>152</v>
      </c>
    </row>
    <row r="153" ht="12.75">
      <c r="A153" s="115">
        <f>ROW()</f>
        <v>153</v>
      </c>
    </row>
    <row r="154" ht="12.75">
      <c r="A154" s="115">
        <f>ROW()</f>
        <v>154</v>
      </c>
    </row>
    <row r="155" ht="12.75">
      <c r="A155" s="115">
        <f>ROW()</f>
        <v>155</v>
      </c>
    </row>
    <row r="156" ht="12.75">
      <c r="A156" s="115">
        <f>ROW()</f>
        <v>156</v>
      </c>
    </row>
    <row r="157" ht="12.75">
      <c r="A157" s="115">
        <f>ROW()</f>
        <v>157</v>
      </c>
    </row>
    <row r="158" ht="12.75">
      <c r="A158" s="115">
        <f>ROW()</f>
        <v>158</v>
      </c>
    </row>
    <row r="159" ht="12.75">
      <c r="A159" s="115">
        <f>ROW()</f>
        <v>159</v>
      </c>
    </row>
    <row r="160" ht="12.75">
      <c r="A160" s="115">
        <f>ROW()</f>
        <v>160</v>
      </c>
    </row>
    <row r="161" ht="12.75">
      <c r="A161" s="115">
        <f>ROW()</f>
        <v>161</v>
      </c>
    </row>
    <row r="162" ht="12.75">
      <c r="A162" s="115">
        <f>ROW()</f>
        <v>162</v>
      </c>
    </row>
    <row r="163" ht="12.75">
      <c r="A163" s="115">
        <f>ROW()</f>
        <v>163</v>
      </c>
    </row>
    <row r="164" ht="12.75">
      <c r="A164" s="115">
        <f>ROW()</f>
        <v>164</v>
      </c>
    </row>
    <row r="165" ht="12.75">
      <c r="A165" s="115">
        <f>ROW()</f>
        <v>165</v>
      </c>
    </row>
    <row r="166" ht="12.75">
      <c r="A166" s="115">
        <f>ROW()</f>
        <v>166</v>
      </c>
    </row>
    <row r="167" ht="12.75">
      <c r="A167" s="115">
        <f>ROW()</f>
        <v>167</v>
      </c>
    </row>
    <row r="168" ht="12.75">
      <c r="A168" s="115">
        <f>ROW()</f>
        <v>168</v>
      </c>
    </row>
    <row r="169" ht="12.75">
      <c r="A169" s="115">
        <f>ROW()</f>
        <v>169</v>
      </c>
    </row>
    <row r="170" ht="12.75">
      <c r="A170" s="115">
        <f>ROW()</f>
        <v>170</v>
      </c>
    </row>
    <row r="171" ht="12.75">
      <c r="A171" s="115">
        <f>ROW()</f>
        <v>171</v>
      </c>
    </row>
    <row r="172" ht="12.75">
      <c r="A172" s="115">
        <f>ROW()</f>
        <v>172</v>
      </c>
    </row>
    <row r="173" ht="12.75">
      <c r="A173" s="115">
        <f>ROW()</f>
        <v>173</v>
      </c>
    </row>
    <row r="174" ht="12.75">
      <c r="A174" s="115">
        <f>ROW()</f>
        <v>174</v>
      </c>
    </row>
    <row r="175" ht="12.75">
      <c r="A175" s="115">
        <f>ROW()</f>
        <v>175</v>
      </c>
    </row>
    <row r="176" ht="12.75">
      <c r="A176" s="115">
        <f>ROW()</f>
        <v>176</v>
      </c>
    </row>
    <row r="177" ht="12.75">
      <c r="A177" s="115">
        <f>ROW()</f>
        <v>177</v>
      </c>
    </row>
    <row r="178" ht="12.75">
      <c r="A178" s="115">
        <f>ROW()</f>
        <v>178</v>
      </c>
    </row>
    <row r="179" ht="12.75">
      <c r="A179" s="115">
        <f>ROW()</f>
        <v>179</v>
      </c>
    </row>
    <row r="180" ht="12.75">
      <c r="A180" s="115">
        <f>ROW()</f>
        <v>180</v>
      </c>
    </row>
    <row r="181" ht="12.75">
      <c r="A181" s="115">
        <f>ROW()</f>
        <v>181</v>
      </c>
    </row>
    <row r="182" ht="12.75">
      <c r="A182" s="115">
        <f>ROW()</f>
        <v>182</v>
      </c>
    </row>
    <row r="183" ht="12.75">
      <c r="A183" s="115">
        <f>ROW()</f>
        <v>183</v>
      </c>
    </row>
    <row r="184" ht="12.75">
      <c r="A184" s="115">
        <f>ROW()</f>
        <v>184</v>
      </c>
    </row>
    <row r="185" ht="12.75">
      <c r="A185" s="115">
        <f>ROW()</f>
        <v>185</v>
      </c>
    </row>
    <row r="186" ht="12.75">
      <c r="A186" s="115">
        <f>ROW()</f>
        <v>186</v>
      </c>
    </row>
    <row r="187" ht="12.75">
      <c r="A187" s="115">
        <f>ROW()</f>
        <v>187</v>
      </c>
    </row>
    <row r="188" ht="12.75">
      <c r="A188" s="115">
        <f>ROW()</f>
        <v>188</v>
      </c>
    </row>
    <row r="189" ht="12.75">
      <c r="A189" s="115">
        <f>ROW()</f>
        <v>189</v>
      </c>
    </row>
    <row r="190" ht="12.75">
      <c r="A190" s="115">
        <f>ROW()</f>
        <v>190</v>
      </c>
    </row>
    <row r="191" ht="12.75">
      <c r="A191" s="115">
        <f>ROW()</f>
        <v>191</v>
      </c>
    </row>
    <row r="192" ht="12.75">
      <c r="A192" s="115">
        <f>ROW()</f>
        <v>192</v>
      </c>
    </row>
    <row r="193" ht="12.75">
      <c r="A193" s="115">
        <f>ROW()</f>
        <v>193</v>
      </c>
    </row>
    <row r="194" ht="12.75">
      <c r="A194" s="115">
        <f>ROW()</f>
        <v>194</v>
      </c>
    </row>
    <row r="195" ht="12.75">
      <c r="A195" s="115">
        <f>ROW()</f>
        <v>195</v>
      </c>
    </row>
    <row r="196" ht="12.75">
      <c r="A196" s="115">
        <f>ROW()</f>
        <v>196</v>
      </c>
    </row>
    <row r="197" ht="12.75">
      <c r="A197" s="115">
        <f>ROW()</f>
        <v>197</v>
      </c>
    </row>
    <row r="198" ht="12.75">
      <c r="A198" s="115">
        <f>ROW()</f>
        <v>198</v>
      </c>
    </row>
    <row r="199" ht="12.75">
      <c r="A199" s="115">
        <f>ROW()</f>
        <v>199</v>
      </c>
    </row>
    <row r="200" ht="12.75">
      <c r="A200" s="115">
        <f>ROW()</f>
        <v>200</v>
      </c>
    </row>
    <row r="201" ht="12.75">
      <c r="A201" s="115">
        <f>ROW()</f>
        <v>201</v>
      </c>
    </row>
    <row r="202" ht="12.75">
      <c r="A202" s="115">
        <f>ROW()</f>
        <v>202</v>
      </c>
    </row>
    <row r="203" ht="12.75">
      <c r="A203" s="115">
        <f>ROW()</f>
        <v>203</v>
      </c>
    </row>
    <row r="204" ht="12.75">
      <c r="A204" s="115">
        <f>ROW()</f>
        <v>204</v>
      </c>
    </row>
    <row r="205" ht="12.75">
      <c r="A205" s="115">
        <f>ROW()</f>
        <v>205</v>
      </c>
    </row>
    <row r="206" ht="12.75">
      <c r="A206" s="115">
        <f>ROW()</f>
        <v>206</v>
      </c>
    </row>
    <row r="207" ht="12.75">
      <c r="A207" s="115">
        <f>ROW()</f>
        <v>207</v>
      </c>
    </row>
    <row r="208" ht="12.75">
      <c r="A208" s="115">
        <f>ROW()</f>
        <v>208</v>
      </c>
    </row>
    <row r="209" ht="12.75">
      <c r="A209" s="115">
        <f>ROW()</f>
        <v>209</v>
      </c>
    </row>
    <row r="210" ht="12.75">
      <c r="A210" s="115">
        <f>ROW()</f>
        <v>210</v>
      </c>
    </row>
    <row r="211" ht="12.75">
      <c r="A211" s="115">
        <f>ROW()</f>
        <v>211</v>
      </c>
    </row>
    <row r="212" ht="12.75">
      <c r="A212" s="115">
        <f>ROW()</f>
        <v>212</v>
      </c>
    </row>
    <row r="213" ht="12.75">
      <c r="A213" s="115">
        <f>ROW()</f>
        <v>213</v>
      </c>
    </row>
    <row r="214" ht="12.75">
      <c r="A214" s="115">
        <f>ROW()</f>
        <v>214</v>
      </c>
    </row>
    <row r="215" ht="12.75">
      <c r="A215" s="115">
        <f>ROW()</f>
        <v>215</v>
      </c>
    </row>
    <row r="216" ht="12.75">
      <c r="A216" s="115">
        <f>ROW()</f>
        <v>216</v>
      </c>
    </row>
    <row r="217" ht="12.75">
      <c r="A217" s="115">
        <f>ROW()</f>
        <v>217</v>
      </c>
    </row>
    <row r="218" ht="12.75">
      <c r="A218" s="115">
        <f>ROW()</f>
        <v>218</v>
      </c>
    </row>
    <row r="219" ht="12.75">
      <c r="A219" s="115">
        <f>ROW()</f>
        <v>219</v>
      </c>
    </row>
    <row r="220" ht="12.75">
      <c r="A220" s="115">
        <f>ROW()</f>
        <v>220</v>
      </c>
    </row>
    <row r="221" ht="12.75">
      <c r="A221" s="115">
        <f>ROW()</f>
        <v>221</v>
      </c>
    </row>
    <row r="222" ht="12.75">
      <c r="A222" s="115">
        <f>ROW()</f>
        <v>222</v>
      </c>
    </row>
    <row r="223" ht="12.75">
      <c r="A223" s="115">
        <f>ROW()</f>
        <v>223</v>
      </c>
    </row>
    <row r="224" ht="12.75">
      <c r="A224" s="115">
        <f>ROW()</f>
        <v>224</v>
      </c>
    </row>
    <row r="225" ht="12.75">
      <c r="A225" s="115">
        <f>ROW()</f>
        <v>225</v>
      </c>
    </row>
    <row r="226" ht="12.75">
      <c r="A226" s="115">
        <f>ROW()</f>
        <v>226</v>
      </c>
    </row>
    <row r="227" ht="12.75">
      <c r="A227" s="115">
        <f>ROW()</f>
        <v>227</v>
      </c>
    </row>
    <row r="228" ht="12.75">
      <c r="A228" s="115">
        <f>ROW()</f>
        <v>228</v>
      </c>
    </row>
    <row r="229" ht="12.75">
      <c r="A229" s="115">
        <f>ROW()</f>
        <v>229</v>
      </c>
    </row>
    <row r="230" ht="12.75">
      <c r="A230" s="115">
        <f>ROW()</f>
        <v>230</v>
      </c>
    </row>
    <row r="231" ht="12.75">
      <c r="A231" s="115">
        <f>ROW()</f>
        <v>231</v>
      </c>
    </row>
    <row r="232" ht="12.75">
      <c r="A232" s="115">
        <f>ROW()</f>
        <v>232</v>
      </c>
    </row>
    <row r="233" ht="12.75">
      <c r="A233" s="115">
        <f>ROW()</f>
        <v>233</v>
      </c>
    </row>
    <row r="234" ht="12.75">
      <c r="A234" s="115">
        <f>ROW()</f>
        <v>234</v>
      </c>
    </row>
    <row r="235" ht="12.75">
      <c r="A235" s="115">
        <f>ROW()</f>
        <v>235</v>
      </c>
    </row>
    <row r="236" ht="12.75">
      <c r="A236" s="115">
        <f>ROW()</f>
        <v>236</v>
      </c>
    </row>
    <row r="237" ht="12.75">
      <c r="A237" s="115">
        <f>ROW()</f>
        <v>237</v>
      </c>
    </row>
    <row r="238" ht="12.75">
      <c r="A238" s="115">
        <f>ROW()</f>
        <v>238</v>
      </c>
    </row>
    <row r="239" ht="12.75">
      <c r="A239" s="115">
        <f>ROW()</f>
        <v>239</v>
      </c>
    </row>
    <row r="240" ht="12.75">
      <c r="A240" s="115">
        <f>ROW()</f>
        <v>240</v>
      </c>
    </row>
    <row r="241" ht="12.75">
      <c r="A241" s="115">
        <f>ROW()</f>
        <v>241</v>
      </c>
    </row>
    <row r="242" ht="12.75">
      <c r="A242" s="115">
        <f>ROW()</f>
        <v>242</v>
      </c>
    </row>
    <row r="243" ht="12.75">
      <c r="A243" s="115">
        <f>ROW()</f>
        <v>243</v>
      </c>
    </row>
    <row r="244" ht="12.75">
      <c r="A244" s="115">
        <f>ROW()</f>
        <v>244</v>
      </c>
    </row>
    <row r="245" ht="12.75">
      <c r="A245" s="115">
        <f>ROW()</f>
        <v>245</v>
      </c>
    </row>
    <row r="246" ht="12.75">
      <c r="A246" s="115">
        <f>ROW()</f>
        <v>246</v>
      </c>
    </row>
    <row r="247" ht="12.75">
      <c r="A247" s="115">
        <f>ROW()</f>
        <v>247</v>
      </c>
    </row>
    <row r="248" ht="12.75">
      <c r="A248" s="115">
        <f>ROW()</f>
        <v>248</v>
      </c>
    </row>
    <row r="249" ht="12.75">
      <c r="A249" s="115">
        <f>ROW()</f>
        <v>249</v>
      </c>
    </row>
    <row r="250" ht="12.75">
      <c r="A250" s="115">
        <f>ROW()</f>
        <v>250</v>
      </c>
    </row>
    <row r="251" ht="12.75">
      <c r="A251" s="115">
        <f>ROW()</f>
        <v>251</v>
      </c>
    </row>
    <row r="252" ht="12.75">
      <c r="A252" s="115">
        <f>ROW()</f>
        <v>252</v>
      </c>
    </row>
    <row r="253" ht="12.75">
      <c r="A253" s="115">
        <f>ROW()</f>
        <v>253</v>
      </c>
    </row>
    <row r="254" ht="12.75">
      <c r="A254" s="115">
        <f>ROW()</f>
        <v>254</v>
      </c>
    </row>
    <row r="255" ht="12.75">
      <c r="A255" s="115">
        <f>ROW()</f>
        <v>255</v>
      </c>
    </row>
    <row r="256" ht="12.75">
      <c r="A256" s="115">
        <f>ROW()</f>
        <v>256</v>
      </c>
    </row>
    <row r="257" ht="12.75">
      <c r="A257" s="115">
        <f>ROW()</f>
        <v>257</v>
      </c>
    </row>
    <row r="258" ht="12.75">
      <c r="A258" s="115">
        <f>ROW()</f>
        <v>258</v>
      </c>
    </row>
    <row r="259" ht="12.75">
      <c r="A259" s="115">
        <f>ROW()</f>
        <v>259</v>
      </c>
    </row>
    <row r="260" ht="12.75">
      <c r="A260" s="115">
        <f>ROW()</f>
        <v>260</v>
      </c>
    </row>
    <row r="261" ht="12.75">
      <c r="A261" s="115">
        <f>ROW()</f>
        <v>261</v>
      </c>
    </row>
    <row r="262" ht="12.75">
      <c r="A262" s="115">
        <f>ROW()</f>
        <v>262</v>
      </c>
    </row>
    <row r="263" ht="12.75">
      <c r="A263" s="115">
        <f>ROW()</f>
        <v>263</v>
      </c>
    </row>
    <row r="264" ht="12.75">
      <c r="A264" s="115">
        <f>ROW()</f>
        <v>264</v>
      </c>
    </row>
    <row r="265" ht="12.75">
      <c r="A265" s="115">
        <f>ROW()</f>
        <v>265</v>
      </c>
    </row>
    <row r="266" ht="12.75">
      <c r="A266" s="115">
        <f>ROW()</f>
        <v>266</v>
      </c>
    </row>
    <row r="267" ht="12.75">
      <c r="A267" s="115">
        <f>ROW()</f>
        <v>267</v>
      </c>
    </row>
    <row r="268" ht="12.75">
      <c r="A268" s="115">
        <f>ROW()</f>
        <v>268</v>
      </c>
    </row>
    <row r="269" ht="12.75">
      <c r="A269" s="115">
        <f>ROW()</f>
        <v>269</v>
      </c>
    </row>
    <row r="270" ht="12.75">
      <c r="A270" s="115">
        <f>ROW()</f>
        <v>270</v>
      </c>
    </row>
    <row r="271" ht="12.75">
      <c r="A271" s="115">
        <f>ROW()</f>
        <v>271</v>
      </c>
    </row>
    <row r="272" ht="12.75">
      <c r="A272" s="115">
        <f>ROW()</f>
        <v>272</v>
      </c>
    </row>
    <row r="273" ht="12.75">
      <c r="A273" s="115">
        <f>ROW()</f>
        <v>273</v>
      </c>
    </row>
    <row r="274" ht="12.75">
      <c r="A274" s="115">
        <f>ROW()</f>
        <v>274</v>
      </c>
    </row>
    <row r="275" ht="12.75">
      <c r="A275" s="115">
        <f>ROW()</f>
        <v>275</v>
      </c>
    </row>
    <row r="276" ht="12.75">
      <c r="A276" s="115">
        <f>ROW()</f>
        <v>276</v>
      </c>
    </row>
    <row r="277" ht="12.75">
      <c r="A277" s="115">
        <f>ROW()</f>
        <v>277</v>
      </c>
    </row>
    <row r="278" ht="12.75">
      <c r="A278" s="115">
        <f>ROW()</f>
        <v>278</v>
      </c>
    </row>
    <row r="279" ht="12.75">
      <c r="A279" s="115">
        <f>ROW()</f>
        <v>279</v>
      </c>
    </row>
    <row r="280" ht="12.75">
      <c r="A280" s="115">
        <f>ROW()</f>
        <v>280</v>
      </c>
    </row>
    <row r="281" ht="12.75">
      <c r="A281" s="115">
        <f>ROW()</f>
        <v>281</v>
      </c>
    </row>
    <row r="282" ht="12.75">
      <c r="A282" s="115">
        <f>ROW()</f>
        <v>282</v>
      </c>
    </row>
    <row r="283" ht="12.75">
      <c r="A283" s="115">
        <f>ROW()</f>
        <v>283</v>
      </c>
    </row>
    <row r="284" ht="12.75">
      <c r="A284" s="115">
        <f>ROW()</f>
        <v>284</v>
      </c>
    </row>
    <row r="285" ht="12.75">
      <c r="A285" s="115">
        <f>ROW()</f>
        <v>285</v>
      </c>
    </row>
    <row r="286" ht="12.75">
      <c r="A286" s="115">
        <f>ROW()</f>
        <v>286</v>
      </c>
    </row>
    <row r="287" ht="12.75">
      <c r="A287" s="115">
        <f>ROW()</f>
        <v>287</v>
      </c>
    </row>
    <row r="288" ht="12.75">
      <c r="A288" s="115">
        <f>ROW()</f>
        <v>288</v>
      </c>
    </row>
    <row r="289" ht="12.75">
      <c r="A289" s="115">
        <f>ROW()</f>
        <v>289</v>
      </c>
    </row>
    <row r="290" ht="12.75">
      <c r="A290" s="115">
        <f>ROW()</f>
        <v>290</v>
      </c>
    </row>
    <row r="291" ht="12.75">
      <c r="A291" s="115">
        <f>ROW()</f>
        <v>291</v>
      </c>
    </row>
    <row r="292" ht="12.75">
      <c r="A292" s="115">
        <f>ROW()</f>
        <v>292</v>
      </c>
    </row>
    <row r="293" ht="12.75">
      <c r="A293" s="115">
        <f>ROW()</f>
        <v>293</v>
      </c>
    </row>
    <row r="294" ht="12.75">
      <c r="A294" s="115">
        <f>ROW()</f>
        <v>294</v>
      </c>
    </row>
    <row r="295" ht="12.75">
      <c r="A295" s="115">
        <f>ROW()</f>
        <v>295</v>
      </c>
    </row>
    <row r="296" ht="12.75">
      <c r="A296" s="115">
        <f>ROW()</f>
        <v>296</v>
      </c>
    </row>
    <row r="297" ht="12.75">
      <c r="A297" s="115">
        <f>ROW()</f>
        <v>297</v>
      </c>
    </row>
    <row r="298" ht="12.75">
      <c r="A298" s="115">
        <f>ROW()</f>
        <v>298</v>
      </c>
    </row>
    <row r="299" ht="12.75">
      <c r="A299" s="115">
        <f>ROW()</f>
        <v>299</v>
      </c>
    </row>
    <row r="300" ht="12.75">
      <c r="A300" s="115">
        <f>ROW()</f>
        <v>300</v>
      </c>
    </row>
    <row r="301" ht="12.75">
      <c r="A301" s="115">
        <f>ROW()</f>
        <v>301</v>
      </c>
    </row>
    <row r="302" ht="12.75">
      <c r="A302" s="115">
        <f>ROW()</f>
        <v>302</v>
      </c>
    </row>
    <row r="303" ht="12.75">
      <c r="A303" s="115">
        <f>ROW()</f>
        <v>303</v>
      </c>
    </row>
    <row r="304" ht="12.75">
      <c r="A304" s="115">
        <f>ROW()</f>
        <v>304</v>
      </c>
    </row>
    <row r="305" ht="12.75">
      <c r="A305" s="115">
        <f>ROW()</f>
        <v>305</v>
      </c>
    </row>
    <row r="306" ht="12.75">
      <c r="A306" s="115">
        <f>ROW()</f>
        <v>306</v>
      </c>
    </row>
    <row r="307" ht="12.75">
      <c r="A307" s="115">
        <f>ROW()</f>
        <v>307</v>
      </c>
    </row>
    <row r="308" ht="12.75">
      <c r="A308" s="115">
        <f>ROW()</f>
        <v>308</v>
      </c>
    </row>
    <row r="309" ht="12.75">
      <c r="A309" s="115">
        <f>ROW()</f>
        <v>309</v>
      </c>
    </row>
    <row r="310" ht="12.75">
      <c r="A310" s="115">
        <f>ROW()</f>
        <v>310</v>
      </c>
    </row>
  </sheetData>
  <sheetProtection/>
  <printOptions/>
  <pageMargins left="0.75" right="0.75" top="1" bottom="1" header="0.5" footer="0.5"/>
  <pageSetup fitToHeight="0" fitToWidth="1" horizontalDpi="300" verticalDpi="300" orientation="landscape" paperSize="9" scale="44" r:id="rId1"/>
  <headerFooter alignWithMargins="0">
    <oddFooter>&amp;L&amp;A&amp;C&amp;F&amp;R&amp;P</oddFooter>
  </headerFooter>
  <rowBreaks count="1" manualBreakCount="1">
    <brk id="75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L160"/>
  <sheetViews>
    <sheetView showGridLines="0" zoomScalePageLayoutView="0" workbookViewId="0" topLeftCell="A1">
      <pane xSplit="3" ySplit="4" topLeftCell="D5" activePane="bottomRight" state="frozen"/>
      <selection pane="topLeft" activeCell="N53" sqref="N53"/>
      <selection pane="topRight" activeCell="N53" sqref="N53"/>
      <selection pane="bottomLeft" activeCell="N53" sqref="N53"/>
      <selection pane="bottomRight" activeCell="I38" sqref="I38"/>
    </sheetView>
  </sheetViews>
  <sheetFormatPr defaultColWidth="9.140625" defaultRowHeight="12.75"/>
  <cols>
    <col min="1" max="1" width="4.00390625" style="0" bestFit="1" customWidth="1"/>
    <col min="2" max="2" width="25.57421875" style="3" bestFit="1" customWidth="1"/>
    <col min="3" max="3" width="9.140625" style="4" customWidth="1"/>
    <col min="4" max="4" width="9.140625" style="3" customWidth="1"/>
    <col min="5" max="9" width="13.00390625" style="0" customWidth="1"/>
    <col min="12" max="12" width="12.57421875" style="0" customWidth="1"/>
    <col min="13" max="13" width="15.00390625" style="0" bestFit="1" customWidth="1"/>
  </cols>
  <sheetData>
    <row r="1" spans="1:2" s="113" customFormat="1" ht="15">
      <c r="A1" s="111"/>
      <c r="B1" s="112" t="s">
        <v>31</v>
      </c>
    </row>
    <row r="2" spans="1:9" ht="12.75">
      <c r="A2" s="115">
        <f>ROW()</f>
        <v>2</v>
      </c>
      <c r="E2" s="15">
        <f>Summary!G8</f>
        <v>1</v>
      </c>
      <c r="F2" s="15">
        <f>Summary!H8</f>
        <v>1</v>
      </c>
      <c r="G2" s="15">
        <f>Summary!I8</f>
        <v>1</v>
      </c>
      <c r="H2" s="15">
        <f>Summary!J8</f>
        <v>1</v>
      </c>
      <c r="I2" s="15">
        <f>Summary!K8</f>
        <v>1</v>
      </c>
    </row>
    <row r="3" spans="1:9" ht="12.75">
      <c r="A3" s="115">
        <f>ROW()</f>
        <v>3</v>
      </c>
      <c r="D3" s="3" t="s">
        <v>30</v>
      </c>
      <c r="E3" s="110">
        <v>365</v>
      </c>
      <c r="F3" s="110">
        <v>366</v>
      </c>
      <c r="G3" s="110">
        <v>365</v>
      </c>
      <c r="H3" s="110">
        <v>365</v>
      </c>
      <c r="I3" s="110">
        <v>365</v>
      </c>
    </row>
    <row r="4" spans="1:9" ht="12.75">
      <c r="A4" s="115">
        <f>ROW()</f>
        <v>4</v>
      </c>
      <c r="B4" s="76" t="s">
        <v>38</v>
      </c>
      <c r="C4" s="102">
        <v>1398.654</v>
      </c>
      <c r="D4" s="2"/>
      <c r="E4" s="1">
        <v>2011</v>
      </c>
      <c r="F4" s="1">
        <v>2012</v>
      </c>
      <c r="G4" s="1">
        <v>2013</v>
      </c>
      <c r="H4" s="1">
        <v>2014</v>
      </c>
      <c r="I4" s="1">
        <v>2015</v>
      </c>
    </row>
    <row r="5" spans="1:9" ht="13.5" thickBot="1">
      <c r="A5" s="115">
        <f>ROW()</f>
        <v>5</v>
      </c>
      <c r="E5" s="18"/>
      <c r="F5" s="18"/>
      <c r="G5" s="18"/>
      <c r="H5" s="18"/>
      <c r="I5" s="18"/>
    </row>
    <row r="6" spans="1:9" s="1" customFormat="1" ht="12.75">
      <c r="A6" s="115">
        <f>ROW()</f>
        <v>6</v>
      </c>
      <c r="B6" s="62" t="s">
        <v>254</v>
      </c>
      <c r="C6" s="63"/>
      <c r="D6" s="64"/>
      <c r="E6" s="378">
        <v>851.31</v>
      </c>
      <c r="F6" s="378">
        <v>860.31</v>
      </c>
      <c r="G6" s="378">
        <v>860.31</v>
      </c>
      <c r="H6" s="378">
        <v>860.31</v>
      </c>
      <c r="I6" s="379">
        <v>860.31</v>
      </c>
    </row>
    <row r="7" spans="1:9" ht="13.5" thickBot="1">
      <c r="A7" s="115">
        <f>ROW()</f>
        <v>7</v>
      </c>
      <c r="B7" s="380" t="s">
        <v>253</v>
      </c>
      <c r="C7" s="68"/>
      <c r="D7" s="69"/>
      <c r="E7" s="387">
        <v>1398.654</v>
      </c>
      <c r="F7" s="387">
        <v>1398.654</v>
      </c>
      <c r="G7" s="387">
        <v>1398.654</v>
      </c>
      <c r="H7" s="387">
        <v>1398.654</v>
      </c>
      <c r="I7" s="388">
        <v>1398.654</v>
      </c>
    </row>
    <row r="8" spans="1:9" ht="13.5" thickBot="1">
      <c r="A8" s="115"/>
      <c r="E8" s="4"/>
      <c r="F8" s="4"/>
      <c r="G8" s="4"/>
      <c r="H8" s="4"/>
      <c r="I8" s="4"/>
    </row>
    <row r="9" spans="1:9" s="1" customFormat="1" ht="12.75">
      <c r="A9" s="115">
        <f>ROW()</f>
        <v>9</v>
      </c>
      <c r="B9" s="62" t="s">
        <v>2</v>
      </c>
      <c r="C9" s="63"/>
      <c r="D9" s="64"/>
      <c r="E9" s="378">
        <v>24.98</v>
      </c>
      <c r="F9" s="378">
        <v>24.98</v>
      </c>
      <c r="G9" s="378">
        <v>24.98</v>
      </c>
      <c r="H9" s="378">
        <v>24.98</v>
      </c>
      <c r="I9" s="379">
        <v>24.98</v>
      </c>
    </row>
    <row r="10" spans="1:9" ht="13.5" thickBot="1">
      <c r="A10" s="115">
        <f>ROW()</f>
        <v>10</v>
      </c>
      <c r="B10" s="380" t="s">
        <v>253</v>
      </c>
      <c r="C10" s="68"/>
      <c r="D10" s="69"/>
      <c r="E10" s="387">
        <v>1000.7120768614891</v>
      </c>
      <c r="F10" s="387">
        <v>1000.7120768614891</v>
      </c>
      <c r="G10" s="387">
        <v>1000.7120768614891</v>
      </c>
      <c r="H10" s="387">
        <v>1000.7120768614891</v>
      </c>
      <c r="I10" s="388">
        <v>1000.7120768614891</v>
      </c>
    </row>
    <row r="11" spans="1:9" ht="13.5" thickBot="1">
      <c r="A11" s="115">
        <f>ROW()</f>
        <v>11</v>
      </c>
      <c r="E11" s="4"/>
      <c r="F11" s="4"/>
      <c r="G11" s="4"/>
      <c r="H11" s="4"/>
      <c r="I11" s="4"/>
    </row>
    <row r="12" spans="1:9" ht="12.75">
      <c r="A12" s="115">
        <f>ROW()</f>
        <v>12</v>
      </c>
      <c r="B12" s="62" t="s">
        <v>4</v>
      </c>
      <c r="C12" s="63"/>
      <c r="D12" s="64"/>
      <c r="E12" s="378">
        <v>3.9</v>
      </c>
      <c r="F12" s="378">
        <v>3.9</v>
      </c>
      <c r="G12" s="378">
        <v>3.9</v>
      </c>
      <c r="H12" s="378">
        <v>3.9</v>
      </c>
      <c r="I12" s="379">
        <v>3.9</v>
      </c>
    </row>
    <row r="13" spans="1:9" ht="13.5" thickBot="1">
      <c r="A13" s="115">
        <f>ROW()</f>
        <v>13</v>
      </c>
      <c r="B13" s="380" t="s">
        <v>253</v>
      </c>
      <c r="C13" s="68"/>
      <c r="D13" s="69"/>
      <c r="E13" s="387">
        <v>342.7377692307692</v>
      </c>
      <c r="F13" s="387">
        <v>342.7377692307692</v>
      </c>
      <c r="G13" s="387">
        <v>342.7377692307692</v>
      </c>
      <c r="H13" s="387">
        <v>342.7377692307692</v>
      </c>
      <c r="I13" s="388">
        <v>342.7377692307692</v>
      </c>
    </row>
    <row r="14" spans="1:9" ht="13.5" thickBot="1">
      <c r="A14" s="115"/>
      <c r="E14" s="4"/>
      <c r="F14" s="4"/>
      <c r="G14" s="4"/>
      <c r="H14" s="4"/>
      <c r="I14" s="4"/>
    </row>
    <row r="15" spans="1:9" ht="12.75">
      <c r="A15" s="115">
        <f>ROW()</f>
        <v>15</v>
      </c>
      <c r="B15" s="62" t="s">
        <v>6</v>
      </c>
      <c r="C15" s="63"/>
      <c r="D15" s="64"/>
      <c r="E15" s="378">
        <v>186.5</v>
      </c>
      <c r="F15" s="378">
        <v>186.5</v>
      </c>
      <c r="G15" s="378">
        <v>186.5</v>
      </c>
      <c r="H15" s="378">
        <v>186.5</v>
      </c>
      <c r="I15" s="379">
        <v>186.5</v>
      </c>
    </row>
    <row r="16" spans="1:9" ht="13.5" thickBot="1">
      <c r="A16" s="115">
        <f>ROW()</f>
        <v>16</v>
      </c>
      <c r="B16" s="380" t="s">
        <v>253</v>
      </c>
      <c r="C16" s="68"/>
      <c r="D16" s="69"/>
      <c r="E16" s="387">
        <v>88.232490616622</v>
      </c>
      <c r="F16" s="387">
        <v>88.232490616622</v>
      </c>
      <c r="G16" s="387">
        <v>88.232490616622</v>
      </c>
      <c r="H16" s="387">
        <v>88.232490616622</v>
      </c>
      <c r="I16" s="388">
        <v>88.232490616622</v>
      </c>
    </row>
    <row r="17" spans="1:9" ht="13.5" thickBot="1">
      <c r="A17" s="115"/>
      <c r="E17" s="4"/>
      <c r="F17" s="4"/>
      <c r="G17" s="4"/>
      <c r="H17" s="4"/>
      <c r="I17" s="4"/>
    </row>
    <row r="18" spans="1:12" s="1" customFormat="1" ht="12.75">
      <c r="A18" s="115">
        <f>ROW()</f>
        <v>18</v>
      </c>
      <c r="B18" s="62" t="s">
        <v>8</v>
      </c>
      <c r="C18" s="63"/>
      <c r="D18" s="64"/>
      <c r="E18" s="378">
        <v>130.04666666666668</v>
      </c>
      <c r="F18" s="378">
        <v>130.04666666666668</v>
      </c>
      <c r="G18" s="378">
        <v>130.04666666666668</v>
      </c>
      <c r="H18" s="378">
        <v>130.04666666666668</v>
      </c>
      <c r="I18" s="379">
        <v>130.04666666666668</v>
      </c>
      <c r="L18" s="18"/>
    </row>
    <row r="19" spans="1:9" ht="13.5" thickBot="1">
      <c r="A19" s="115">
        <f>ROW()</f>
        <v>19</v>
      </c>
      <c r="B19" s="380" t="s">
        <v>253</v>
      </c>
      <c r="C19" s="68"/>
      <c r="D19" s="69"/>
      <c r="E19" s="387">
        <v>126.13160132260212</v>
      </c>
      <c r="F19" s="387">
        <v>126.13160132260212</v>
      </c>
      <c r="G19" s="387">
        <v>126.13160132260212</v>
      </c>
      <c r="H19" s="387">
        <v>126.13160132260212</v>
      </c>
      <c r="I19" s="388">
        <v>126.13160132260212</v>
      </c>
    </row>
    <row r="20" ht="13.5" thickBot="1">
      <c r="A20" s="115">
        <f>ROW()</f>
        <v>20</v>
      </c>
    </row>
    <row r="21" spans="1:9" ht="12.75">
      <c r="A21" s="115">
        <f>ROW()</f>
        <v>21</v>
      </c>
      <c r="B21" s="62"/>
      <c r="C21" s="63"/>
      <c r="D21" s="71"/>
      <c r="E21" s="64">
        <v>2011</v>
      </c>
      <c r="F21" s="64">
        <v>2012</v>
      </c>
      <c r="G21" s="64">
        <v>2013</v>
      </c>
      <c r="H21" s="64">
        <v>2014</v>
      </c>
      <c r="I21" s="65">
        <v>2015</v>
      </c>
    </row>
    <row r="22" spans="1:9" ht="12.75">
      <c r="A22" s="115">
        <f>ROW()</f>
        <v>22</v>
      </c>
      <c r="B22" s="386" t="s">
        <v>0</v>
      </c>
      <c r="C22" s="29"/>
      <c r="D22" s="72"/>
      <c r="E22" s="73">
        <f>(E7/TotalKM)*E$3*E6*1000*Summary!G$40</f>
        <v>484214528.71018165</v>
      </c>
      <c r="F22" s="73">
        <f>(F7/TotalKM)*F$3*F6*1000*Summary!H$40</f>
        <v>490674256.70073414</v>
      </c>
      <c r="G22" s="73">
        <f>(G7/TotalKM)*G$3*G6*1000*Summary!I$40</f>
        <v>489333616.65510374</v>
      </c>
      <c r="H22" s="73">
        <f>(H7/TotalKM)*H$3*H6*1000*Summary!J$40</f>
        <v>489333616.65510374</v>
      </c>
      <c r="I22" s="74">
        <f>(I7/TotalKM)*I$3*I6*1000*Summary!K$40</f>
        <v>489333616.65510374</v>
      </c>
    </row>
    <row r="23" spans="1:9" ht="12.75">
      <c r="A23" s="115">
        <f>ROW()</f>
        <v>23</v>
      </c>
      <c r="B23" s="386" t="s">
        <v>1</v>
      </c>
      <c r="C23" s="29"/>
      <c r="D23" s="72"/>
      <c r="E23" s="73">
        <f>(E10/TotalKM)*E$3*E9*1000*Summary!G$40</f>
        <v>10165795.397448808</v>
      </c>
      <c r="F23" s="73">
        <f>(F10/TotalKM)*F$3*F9*1000*Summary!H$40</f>
        <v>10193646.891688392</v>
      </c>
      <c r="G23" s="73">
        <f>(G10/TotalKM)*G$3*G9*1000*Summary!I$40</f>
        <v>10165795.397448808</v>
      </c>
      <c r="H23" s="73">
        <f>(H10/TotalKM)*H$3*H9*1000*Summary!J$40</f>
        <v>10165795.397448808</v>
      </c>
      <c r="I23" s="74">
        <f>(I10/TotalKM)*I$3*I9*1000*Summary!K$40</f>
        <v>10165795.397448808</v>
      </c>
    </row>
    <row r="24" spans="1:9" ht="12.75">
      <c r="A24" s="115">
        <f>ROW()</f>
        <v>24</v>
      </c>
      <c r="B24" s="386" t="s">
        <v>3</v>
      </c>
      <c r="C24" s="29"/>
      <c r="D24" s="72"/>
      <c r="E24" s="73">
        <f>(E13/TotalKM)*E$3*E12*1000*Summary!G$40</f>
        <v>543583.6210052286</v>
      </c>
      <c r="F24" s="73">
        <f>(F13/TotalKM)*F$3*F12*1000*Summary!H$40</f>
        <v>545072.8911997636</v>
      </c>
      <c r="G24" s="73">
        <f>(G13/TotalKM)*G$3*G12*1000*Summary!I$40</f>
        <v>543583.6210052286</v>
      </c>
      <c r="H24" s="73">
        <f>(H13/TotalKM)*H$3*H12*1000*Summary!J$40</f>
        <v>543583.6210052286</v>
      </c>
      <c r="I24" s="74">
        <f>(I13/TotalKM)*I$3*I12*1000*Summary!K$40</f>
        <v>543583.6210052286</v>
      </c>
    </row>
    <row r="25" spans="1:9" ht="12.75">
      <c r="A25" s="115">
        <f>ROW()</f>
        <v>25</v>
      </c>
      <c r="B25" s="386" t="s">
        <v>5</v>
      </c>
      <c r="C25" s="29"/>
      <c r="D25" s="72"/>
      <c r="E25" s="73">
        <f>(E16/TotalKM)*E$3*E15*1000*Summary!G$40</f>
        <v>6691864.8966005435</v>
      </c>
      <c r="F25" s="73">
        <f>(F16/TotalKM)*F$3*F15*1000*Summary!H$40</f>
        <v>6710198.773029585</v>
      </c>
      <c r="G25" s="73">
        <f>(G16/TotalKM)*G$3*G15*1000*Summary!I$40</f>
        <v>6691864.8966005435</v>
      </c>
      <c r="H25" s="73">
        <f>(H16/TotalKM)*H$3*H15*1000*Summary!J$40</f>
        <v>6691864.8966005435</v>
      </c>
      <c r="I25" s="74">
        <f>(I16/TotalKM)*I$3*I15*1000*Summary!K$40</f>
        <v>6691864.8966005435</v>
      </c>
    </row>
    <row r="26" spans="1:9" ht="13.5" thickBot="1">
      <c r="A26" s="115">
        <f>ROW()</f>
        <v>26</v>
      </c>
      <c r="B26" s="67" t="s">
        <v>7</v>
      </c>
      <c r="C26" s="50"/>
      <c r="D26" s="75"/>
      <c r="E26" s="389">
        <f>(E19/TotalKM)*E$3*E18*1000*Summary!G$40</f>
        <v>6670569.66118143</v>
      </c>
      <c r="F26" s="389">
        <f>(F19/TotalKM)*F$3*F18*1000*Summary!H$40</f>
        <v>6688845.194499736</v>
      </c>
      <c r="G26" s="389">
        <f>(G19/TotalKM)*G$3*G18*1000*Summary!I$40</f>
        <v>6670569.66118143</v>
      </c>
      <c r="H26" s="389">
        <f>(H19/TotalKM)*H$3*H18*1000*Summary!J$40</f>
        <v>6670569.66118143</v>
      </c>
      <c r="I26" s="390">
        <f>(I19/TotalKM)*I$3*I18*1000*Summary!K$40</f>
        <v>6670569.66118143</v>
      </c>
    </row>
    <row r="27" spans="1:9" ht="13.5" thickBot="1">
      <c r="A27" s="115">
        <f>ROW()</f>
        <v>27</v>
      </c>
      <c r="B27" s="383" t="s">
        <v>33</v>
      </c>
      <c r="C27" s="384"/>
      <c r="D27" s="385"/>
      <c r="E27" s="381">
        <f>SUM(E22:E26)</f>
        <v>508286342.2864177</v>
      </c>
      <c r="F27" s="381">
        <f>SUM(F22:F26)</f>
        <v>514812020.4511516</v>
      </c>
      <c r="G27" s="381">
        <f>SUM(G22:G26)</f>
        <v>513405430.2313398</v>
      </c>
      <c r="H27" s="381">
        <f>SUM(H22:H26)</f>
        <v>513405430.2313398</v>
      </c>
      <c r="I27" s="382">
        <f>SUM(I22:I26)</f>
        <v>513405430.2313398</v>
      </c>
    </row>
    <row r="28" ht="12.75">
      <c r="A28" s="115">
        <f>ROW()</f>
        <v>28</v>
      </c>
    </row>
    <row r="29" ht="12.75">
      <c r="A29" s="115">
        <f>ROW()</f>
        <v>29</v>
      </c>
    </row>
    <row r="30" ht="12.75">
      <c r="A30" s="115">
        <f>ROW()</f>
        <v>30</v>
      </c>
    </row>
    <row r="31" ht="12.75">
      <c r="A31" s="115">
        <f>ROW()</f>
        <v>31</v>
      </c>
    </row>
    <row r="32" ht="12.75">
      <c r="A32" s="115">
        <f>ROW()</f>
        <v>32</v>
      </c>
    </row>
    <row r="33" ht="12.75">
      <c r="A33" s="115">
        <f>ROW()</f>
        <v>33</v>
      </c>
    </row>
    <row r="34" ht="12.75">
      <c r="A34" s="115">
        <f>ROW()</f>
        <v>34</v>
      </c>
    </row>
    <row r="35" ht="12.75">
      <c r="A35" s="115">
        <f>ROW()</f>
        <v>35</v>
      </c>
    </row>
    <row r="36" ht="12.75">
      <c r="A36" s="115">
        <f>ROW()</f>
        <v>36</v>
      </c>
    </row>
    <row r="37" ht="12.75">
      <c r="A37" s="115">
        <f>ROW()</f>
        <v>37</v>
      </c>
    </row>
    <row r="38" ht="12.75">
      <c r="A38" s="115">
        <f>ROW()</f>
        <v>38</v>
      </c>
    </row>
    <row r="39" ht="12.75">
      <c r="A39" s="115">
        <f>ROW()</f>
        <v>39</v>
      </c>
    </row>
    <row r="40" ht="12.75">
      <c r="A40" s="115">
        <f>ROW()</f>
        <v>40</v>
      </c>
    </row>
    <row r="41" ht="12.75">
      <c r="A41" s="115">
        <f>ROW()</f>
        <v>41</v>
      </c>
    </row>
    <row r="42" ht="12.75">
      <c r="A42" s="115">
        <f>ROW()</f>
        <v>42</v>
      </c>
    </row>
    <row r="43" ht="12.75">
      <c r="A43" s="115">
        <f>ROW()</f>
        <v>43</v>
      </c>
    </row>
    <row r="44" ht="12.75">
      <c r="A44" s="115">
        <f>ROW()</f>
        <v>44</v>
      </c>
    </row>
    <row r="45" ht="12.75">
      <c r="A45" s="115">
        <f>ROW()</f>
        <v>45</v>
      </c>
    </row>
    <row r="46" ht="12.75">
      <c r="A46" s="115">
        <f>ROW()</f>
        <v>46</v>
      </c>
    </row>
    <row r="47" ht="12.75">
      <c r="A47" s="115">
        <f>ROW()</f>
        <v>47</v>
      </c>
    </row>
    <row r="48" ht="12.75">
      <c r="A48" s="115">
        <f>ROW()</f>
        <v>48</v>
      </c>
    </row>
    <row r="49" ht="12.75">
      <c r="A49" s="115">
        <f>ROW()</f>
        <v>49</v>
      </c>
    </row>
    <row r="50" ht="12.75">
      <c r="A50" s="115">
        <f>ROW()</f>
        <v>50</v>
      </c>
    </row>
    <row r="51" ht="12.75">
      <c r="A51" s="115">
        <f>ROW()</f>
        <v>51</v>
      </c>
    </row>
    <row r="52" ht="12.75">
      <c r="A52" s="115">
        <f>ROW()</f>
        <v>52</v>
      </c>
    </row>
    <row r="53" ht="12.75">
      <c r="A53" s="115">
        <f>ROW()</f>
        <v>53</v>
      </c>
    </row>
    <row r="54" ht="12.75">
      <c r="A54" s="115">
        <f>ROW()</f>
        <v>54</v>
      </c>
    </row>
    <row r="55" ht="12.75">
      <c r="A55" s="115">
        <f>ROW()</f>
        <v>55</v>
      </c>
    </row>
    <row r="56" ht="12.75">
      <c r="A56" s="115">
        <f>ROW()</f>
        <v>56</v>
      </c>
    </row>
    <row r="57" ht="12.75">
      <c r="A57" s="115">
        <f>ROW()</f>
        <v>57</v>
      </c>
    </row>
    <row r="58" ht="12.75">
      <c r="A58" s="115">
        <f>ROW()</f>
        <v>58</v>
      </c>
    </row>
    <row r="59" ht="12.75">
      <c r="A59" s="115">
        <f>ROW()</f>
        <v>59</v>
      </c>
    </row>
    <row r="60" ht="12.75">
      <c r="A60" s="115">
        <f>ROW()</f>
        <v>60</v>
      </c>
    </row>
    <row r="61" ht="12.75">
      <c r="A61" s="115">
        <f>ROW()</f>
        <v>61</v>
      </c>
    </row>
    <row r="62" ht="12.75">
      <c r="A62" s="115">
        <f>ROW()</f>
        <v>62</v>
      </c>
    </row>
    <row r="63" ht="12.75">
      <c r="A63" s="115">
        <f>ROW()</f>
        <v>63</v>
      </c>
    </row>
    <row r="64" ht="12.75">
      <c r="A64" s="115">
        <f>ROW()</f>
        <v>64</v>
      </c>
    </row>
    <row r="65" ht="12.75">
      <c r="A65" s="115">
        <f>ROW()</f>
        <v>65</v>
      </c>
    </row>
    <row r="66" ht="12.75">
      <c r="A66" s="115">
        <f>ROW()</f>
        <v>66</v>
      </c>
    </row>
    <row r="67" ht="12.75">
      <c r="A67" s="115">
        <f>ROW()</f>
        <v>67</v>
      </c>
    </row>
    <row r="68" ht="12.75">
      <c r="A68" s="115">
        <f>ROW()</f>
        <v>68</v>
      </c>
    </row>
    <row r="69" ht="12.75">
      <c r="A69" s="115">
        <f>ROW()</f>
        <v>69</v>
      </c>
    </row>
    <row r="70" ht="12.75">
      <c r="A70" s="115">
        <f>ROW()</f>
        <v>70</v>
      </c>
    </row>
    <row r="71" ht="12.75">
      <c r="A71" s="115">
        <f>ROW()</f>
        <v>71</v>
      </c>
    </row>
    <row r="72" ht="12.75">
      <c r="A72" s="115">
        <f>ROW()</f>
        <v>72</v>
      </c>
    </row>
    <row r="73" ht="12.75">
      <c r="A73" s="115">
        <f>ROW()</f>
        <v>73</v>
      </c>
    </row>
    <row r="74" ht="12.75">
      <c r="A74" s="115">
        <f>ROW()</f>
        <v>74</v>
      </c>
    </row>
    <row r="75" ht="12.75">
      <c r="A75" s="115">
        <f>ROW()</f>
        <v>75</v>
      </c>
    </row>
    <row r="76" ht="12.75">
      <c r="A76" s="115">
        <f>ROW()</f>
        <v>76</v>
      </c>
    </row>
    <row r="77" ht="12.75">
      <c r="A77" s="115">
        <f>ROW()</f>
        <v>77</v>
      </c>
    </row>
    <row r="78" ht="12.75">
      <c r="A78" s="115">
        <f>ROW()</f>
        <v>78</v>
      </c>
    </row>
    <row r="79" ht="12.75">
      <c r="A79" s="115">
        <f>ROW()</f>
        <v>79</v>
      </c>
    </row>
    <row r="80" ht="12.75">
      <c r="A80" s="115">
        <f>ROW()</f>
        <v>80</v>
      </c>
    </row>
    <row r="81" ht="12.75">
      <c r="A81" s="115">
        <f>ROW()</f>
        <v>81</v>
      </c>
    </row>
    <row r="82" ht="12.75">
      <c r="A82" s="115">
        <f>ROW()</f>
        <v>82</v>
      </c>
    </row>
    <row r="83" ht="12.75">
      <c r="A83" s="115">
        <f>ROW()</f>
        <v>83</v>
      </c>
    </row>
    <row r="84" ht="12.75">
      <c r="A84" s="115">
        <f>ROW()</f>
        <v>84</v>
      </c>
    </row>
    <row r="85" ht="12.75">
      <c r="A85" s="115">
        <f>ROW()</f>
        <v>85</v>
      </c>
    </row>
    <row r="86" ht="12.75">
      <c r="A86" s="115">
        <f>ROW()</f>
        <v>86</v>
      </c>
    </row>
    <row r="87" ht="12.75">
      <c r="A87" s="115">
        <f>ROW()</f>
        <v>87</v>
      </c>
    </row>
    <row r="88" ht="12.75">
      <c r="A88" s="115">
        <f>ROW()</f>
        <v>88</v>
      </c>
    </row>
    <row r="89" ht="12.75">
      <c r="A89" s="115">
        <f>ROW()</f>
        <v>89</v>
      </c>
    </row>
    <row r="90" ht="12.75">
      <c r="A90" s="115">
        <f>ROW()</f>
        <v>90</v>
      </c>
    </row>
    <row r="91" ht="12.75">
      <c r="A91" s="115">
        <f>ROW()</f>
        <v>91</v>
      </c>
    </row>
    <row r="92" ht="12.75">
      <c r="A92" s="115">
        <f>ROW()</f>
        <v>92</v>
      </c>
    </row>
    <row r="93" ht="12.75">
      <c r="A93" s="115">
        <f>ROW()</f>
        <v>93</v>
      </c>
    </row>
    <row r="94" ht="12.75">
      <c r="A94" s="115">
        <f>ROW()</f>
        <v>94</v>
      </c>
    </row>
    <row r="95" ht="12.75">
      <c r="A95" s="115">
        <f>ROW()</f>
        <v>95</v>
      </c>
    </row>
    <row r="96" ht="12.75">
      <c r="A96" s="115">
        <f>ROW()</f>
        <v>96</v>
      </c>
    </row>
    <row r="97" ht="12.75">
      <c r="A97" s="115">
        <f>ROW()</f>
        <v>97</v>
      </c>
    </row>
    <row r="98" ht="12.75">
      <c r="A98" s="115">
        <f>ROW()</f>
        <v>98</v>
      </c>
    </row>
    <row r="99" ht="12.75">
      <c r="A99" s="115">
        <f>ROW()</f>
        <v>99</v>
      </c>
    </row>
    <row r="100" ht="12.75">
      <c r="A100" s="115">
        <f>ROW()</f>
        <v>100</v>
      </c>
    </row>
    <row r="101" ht="12.75">
      <c r="A101" s="115">
        <f>ROW()</f>
        <v>101</v>
      </c>
    </row>
    <row r="102" ht="12.75">
      <c r="A102" s="115">
        <f>ROW()</f>
        <v>102</v>
      </c>
    </row>
    <row r="103" ht="12.75">
      <c r="A103" s="115">
        <f>ROW()</f>
        <v>103</v>
      </c>
    </row>
    <row r="104" ht="12.75">
      <c r="A104" s="115">
        <f>ROW()</f>
        <v>104</v>
      </c>
    </row>
    <row r="105" ht="12.75">
      <c r="A105" s="115">
        <f>ROW()</f>
        <v>105</v>
      </c>
    </row>
    <row r="106" ht="12.75">
      <c r="A106" s="115">
        <f>ROW()</f>
        <v>106</v>
      </c>
    </row>
    <row r="107" ht="12.75">
      <c r="A107" s="115">
        <f>ROW()</f>
        <v>107</v>
      </c>
    </row>
    <row r="108" ht="12.75">
      <c r="A108" s="115">
        <f>ROW()</f>
        <v>108</v>
      </c>
    </row>
    <row r="109" ht="12.75">
      <c r="A109" s="115">
        <f>ROW()</f>
        <v>109</v>
      </c>
    </row>
    <row r="110" ht="12.75">
      <c r="A110" s="115">
        <f>ROW()</f>
        <v>110</v>
      </c>
    </row>
    <row r="111" ht="12.75">
      <c r="A111" s="115">
        <f>ROW()</f>
        <v>111</v>
      </c>
    </row>
    <row r="112" ht="12.75">
      <c r="A112" s="115">
        <f>ROW()</f>
        <v>112</v>
      </c>
    </row>
    <row r="113" ht="12.75">
      <c r="A113" s="115">
        <f>ROW()</f>
        <v>113</v>
      </c>
    </row>
    <row r="114" ht="12.75">
      <c r="A114" s="115">
        <f>ROW()</f>
        <v>114</v>
      </c>
    </row>
    <row r="115" ht="12.75">
      <c r="A115" s="115">
        <f>ROW()</f>
        <v>115</v>
      </c>
    </row>
    <row r="116" ht="12.75">
      <c r="A116" s="115">
        <f>ROW()</f>
        <v>116</v>
      </c>
    </row>
    <row r="117" ht="12.75">
      <c r="A117" s="115">
        <f>ROW()</f>
        <v>117</v>
      </c>
    </row>
    <row r="118" ht="12.75">
      <c r="A118" s="115">
        <f>ROW()</f>
        <v>118</v>
      </c>
    </row>
    <row r="119" ht="12.75">
      <c r="A119" s="115">
        <f>ROW()</f>
        <v>119</v>
      </c>
    </row>
    <row r="120" ht="12.75">
      <c r="A120" s="115">
        <f>ROW()</f>
        <v>120</v>
      </c>
    </row>
    <row r="121" ht="12.75">
      <c r="A121" s="115">
        <f>ROW()</f>
        <v>121</v>
      </c>
    </row>
    <row r="122" ht="12.75">
      <c r="A122" s="115">
        <f>ROW()</f>
        <v>122</v>
      </c>
    </row>
    <row r="123" ht="12.75">
      <c r="A123" s="115">
        <f>ROW()</f>
        <v>123</v>
      </c>
    </row>
    <row r="124" ht="12.75">
      <c r="A124" s="115">
        <f>ROW()</f>
        <v>124</v>
      </c>
    </row>
    <row r="125" ht="12.75">
      <c r="A125" s="115">
        <f>ROW()</f>
        <v>125</v>
      </c>
    </row>
    <row r="126" ht="12.75">
      <c r="A126" s="115">
        <f>ROW()</f>
        <v>126</v>
      </c>
    </row>
    <row r="127" ht="12.75">
      <c r="A127" s="115">
        <f>ROW()</f>
        <v>127</v>
      </c>
    </row>
    <row r="128" ht="12.75">
      <c r="A128" s="115">
        <f>ROW()</f>
        <v>128</v>
      </c>
    </row>
    <row r="129" ht="12.75">
      <c r="A129" s="115">
        <f>ROW()</f>
        <v>129</v>
      </c>
    </row>
    <row r="130" ht="12.75">
      <c r="A130" s="115">
        <f>ROW()</f>
        <v>130</v>
      </c>
    </row>
    <row r="131" ht="12.75">
      <c r="A131" s="115">
        <f>ROW()</f>
        <v>131</v>
      </c>
    </row>
    <row r="132" ht="12.75">
      <c r="A132" s="115">
        <f>ROW()</f>
        <v>132</v>
      </c>
    </row>
    <row r="133" ht="12.75">
      <c r="A133" s="115">
        <f>ROW()</f>
        <v>133</v>
      </c>
    </row>
    <row r="134" ht="12.75">
      <c r="A134" s="115">
        <f>ROW()</f>
        <v>134</v>
      </c>
    </row>
    <row r="135" ht="12.75">
      <c r="A135" s="115">
        <f>ROW()</f>
        <v>135</v>
      </c>
    </row>
    <row r="136" ht="12.75">
      <c r="A136" s="115">
        <f>ROW()</f>
        <v>136</v>
      </c>
    </row>
    <row r="137" ht="12.75">
      <c r="A137" s="115">
        <f>ROW()</f>
        <v>137</v>
      </c>
    </row>
    <row r="138" ht="12.75">
      <c r="A138" s="115">
        <f>ROW()</f>
        <v>138</v>
      </c>
    </row>
    <row r="139" ht="12.75">
      <c r="A139" s="115">
        <f>ROW()</f>
        <v>139</v>
      </c>
    </row>
    <row r="140" ht="12.75">
      <c r="A140" s="115">
        <f>ROW()</f>
        <v>140</v>
      </c>
    </row>
    <row r="141" ht="12.75">
      <c r="A141" s="115">
        <f>ROW()</f>
        <v>141</v>
      </c>
    </row>
    <row r="142" ht="12.75">
      <c r="A142" s="115">
        <f>ROW()</f>
        <v>142</v>
      </c>
    </row>
    <row r="143" ht="12.75">
      <c r="A143" s="115">
        <f>ROW()</f>
        <v>143</v>
      </c>
    </row>
    <row r="144" ht="12.75">
      <c r="A144" s="115">
        <f>ROW()</f>
        <v>144</v>
      </c>
    </row>
    <row r="145" ht="12.75">
      <c r="A145" s="115">
        <f>ROW()</f>
        <v>145</v>
      </c>
    </row>
    <row r="146" ht="12.75">
      <c r="A146" s="115">
        <f>ROW()</f>
        <v>146</v>
      </c>
    </row>
    <row r="147" ht="12.75">
      <c r="A147" s="115">
        <f>ROW()</f>
        <v>147</v>
      </c>
    </row>
    <row r="148" ht="12.75">
      <c r="A148" s="115">
        <f>ROW()</f>
        <v>148</v>
      </c>
    </row>
    <row r="149" ht="12.75">
      <c r="A149" s="115">
        <f>ROW()</f>
        <v>149</v>
      </c>
    </row>
    <row r="150" ht="12.75">
      <c r="A150" s="115">
        <f>ROW()</f>
        <v>150</v>
      </c>
    </row>
    <row r="151" ht="12.75">
      <c r="A151" s="115">
        <f>ROW()</f>
        <v>151</v>
      </c>
    </row>
    <row r="152" ht="12.75">
      <c r="A152" s="115">
        <f>ROW()</f>
        <v>152</v>
      </c>
    </row>
    <row r="153" ht="12.75">
      <c r="A153" s="115">
        <f>ROW()</f>
        <v>153</v>
      </c>
    </row>
    <row r="154" ht="12.75">
      <c r="A154" s="115">
        <f>ROW()</f>
        <v>154</v>
      </c>
    </row>
    <row r="155" ht="12.75">
      <c r="A155" s="115">
        <f>ROW()</f>
        <v>155</v>
      </c>
    </row>
    <row r="156" ht="12.75">
      <c r="A156" s="115">
        <f>ROW()</f>
        <v>156</v>
      </c>
    </row>
    <row r="157" ht="12.75">
      <c r="A157" s="115">
        <f>ROW()</f>
        <v>157</v>
      </c>
    </row>
    <row r="158" ht="12.75">
      <c r="A158" s="115">
        <f>ROW()</f>
        <v>158</v>
      </c>
    </row>
    <row r="159" ht="12.75">
      <c r="A159" s="115">
        <f>ROW()</f>
        <v>159</v>
      </c>
    </row>
    <row r="160" ht="12.75">
      <c r="A160" s="115">
        <f>ROW()</f>
        <v>160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49" r:id="rId1"/>
  <headerFooter alignWithMargins="0">
    <oddFooter>&amp;L&amp;A&amp;C&amp;F&amp;R&amp;P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J160"/>
  <sheetViews>
    <sheetView showGridLines="0" zoomScalePageLayoutView="0" workbookViewId="0" topLeftCell="A1">
      <pane xSplit="3" ySplit="4" topLeftCell="D5" activePane="bottomRight" state="frozen"/>
      <selection pane="topLeft" activeCell="N53" sqref="N53"/>
      <selection pane="topRight" activeCell="N53" sqref="N53"/>
      <selection pane="bottomLeft" activeCell="N53" sqref="N53"/>
      <selection pane="bottomRight" activeCell="B23" sqref="B23"/>
    </sheetView>
  </sheetViews>
  <sheetFormatPr defaultColWidth="9.140625" defaultRowHeight="12.75"/>
  <cols>
    <col min="1" max="1" width="4.00390625" style="0" bestFit="1" customWidth="1"/>
    <col min="2" max="2" width="26.28125" style="3" customWidth="1"/>
    <col min="3" max="3" width="9.140625" style="4" customWidth="1"/>
    <col min="5" max="9" width="11.140625" style="0" bestFit="1" customWidth="1"/>
  </cols>
  <sheetData>
    <row r="1" spans="1:2" s="113" customFormat="1" ht="15">
      <c r="A1" s="111"/>
      <c r="B1" s="112" t="s">
        <v>32</v>
      </c>
    </row>
    <row r="2" spans="1:9" ht="12.75">
      <c r="A2" s="115">
        <f>ROW()</f>
        <v>2</v>
      </c>
      <c r="E2" s="15">
        <f>Summary!G8</f>
        <v>1</v>
      </c>
      <c r="F2" s="15">
        <f>Summary!H8</f>
        <v>1</v>
      </c>
      <c r="G2" s="15">
        <f>Summary!I8</f>
        <v>1</v>
      </c>
      <c r="H2" s="15">
        <f>Summary!J8</f>
        <v>1</v>
      </c>
      <c r="I2" s="15">
        <f>Summary!K8</f>
        <v>1</v>
      </c>
    </row>
    <row r="3" spans="1:9" ht="12.75">
      <c r="A3" s="115">
        <f>ROW()</f>
        <v>3</v>
      </c>
      <c r="D3" s="3" t="s">
        <v>30</v>
      </c>
      <c r="E3" s="3">
        <v>365</v>
      </c>
      <c r="F3" s="3">
        <v>366</v>
      </c>
      <c r="G3" s="3">
        <v>365</v>
      </c>
      <c r="H3" s="3">
        <v>365</v>
      </c>
      <c r="I3" s="3">
        <v>365</v>
      </c>
    </row>
    <row r="4" spans="1:9" ht="12.75">
      <c r="A4" s="115">
        <f>ROW()</f>
        <v>4</v>
      </c>
      <c r="C4" s="14"/>
      <c r="E4" s="70">
        <v>2011</v>
      </c>
      <c r="F4" s="70">
        <v>2012</v>
      </c>
      <c r="G4" s="70">
        <v>2013</v>
      </c>
      <c r="H4" s="70">
        <v>2014</v>
      </c>
      <c r="I4" s="70">
        <v>2015</v>
      </c>
    </row>
    <row r="5" spans="1:9" ht="13.5" thickBot="1">
      <c r="A5" s="115">
        <f>ROW()</f>
        <v>5</v>
      </c>
      <c r="C5" s="14"/>
      <c r="E5" s="70"/>
      <c r="F5" s="70"/>
      <c r="G5" s="70"/>
      <c r="H5" s="70"/>
      <c r="I5" s="70"/>
    </row>
    <row r="6" spans="1:9" s="1" customFormat="1" ht="12.75">
      <c r="A6" s="115">
        <f>ROW()</f>
        <v>6</v>
      </c>
      <c r="B6" s="62" t="s">
        <v>254</v>
      </c>
      <c r="C6" s="63"/>
      <c r="D6" s="64"/>
      <c r="E6" s="378">
        <v>703.0736199999999</v>
      </c>
      <c r="F6" s="378">
        <v>718.8172199999999</v>
      </c>
      <c r="G6" s="378">
        <v>719.71722</v>
      </c>
      <c r="H6" s="378">
        <v>725.8464726666648</v>
      </c>
      <c r="I6" s="379">
        <v>732.5209612466649</v>
      </c>
    </row>
    <row r="7" spans="1:9" s="1" customFormat="1" ht="13.5" thickBot="1">
      <c r="A7" s="115">
        <f>ROW()</f>
        <v>7</v>
      </c>
      <c r="B7" s="380" t="s">
        <v>253</v>
      </c>
      <c r="C7" s="68"/>
      <c r="D7" s="69"/>
      <c r="E7" s="387">
        <v>1398.654</v>
      </c>
      <c r="F7" s="387">
        <v>1398.654</v>
      </c>
      <c r="G7" s="387">
        <v>1398.654</v>
      </c>
      <c r="H7" s="387">
        <v>1398.654</v>
      </c>
      <c r="I7" s="388">
        <v>1398.654</v>
      </c>
    </row>
    <row r="8" spans="1:9" ht="13.5" thickBot="1">
      <c r="A8" s="115">
        <f>ROW()</f>
        <v>8</v>
      </c>
      <c r="E8" s="4"/>
      <c r="F8" s="4"/>
      <c r="G8" s="4"/>
      <c r="H8" s="4"/>
      <c r="I8" s="4"/>
    </row>
    <row r="9" spans="1:9" s="1" customFormat="1" ht="12.75">
      <c r="A9" s="115">
        <f>ROW()</f>
        <v>9</v>
      </c>
      <c r="B9" s="62" t="s">
        <v>2</v>
      </c>
      <c r="C9" s="63"/>
      <c r="D9" s="64"/>
      <c r="E9" s="378">
        <v>21.488</v>
      </c>
      <c r="F9" s="378">
        <v>21.488</v>
      </c>
      <c r="G9" s="378">
        <v>21.488</v>
      </c>
      <c r="H9" s="378">
        <v>21.488</v>
      </c>
      <c r="I9" s="379">
        <v>21.488</v>
      </c>
    </row>
    <row r="10" spans="1:9" ht="13.5" thickBot="1">
      <c r="A10" s="115">
        <f>ROW()</f>
        <v>10</v>
      </c>
      <c r="B10" s="380" t="s">
        <v>253</v>
      </c>
      <c r="C10" s="68"/>
      <c r="D10" s="69"/>
      <c r="E10" s="387">
        <v>1001.5039607222637</v>
      </c>
      <c r="F10" s="387">
        <v>1001.5039607222637</v>
      </c>
      <c r="G10" s="387">
        <v>1001.5039607222637</v>
      </c>
      <c r="H10" s="387">
        <v>1001.5039607222637</v>
      </c>
      <c r="I10" s="388">
        <v>1001.5039607222637</v>
      </c>
    </row>
    <row r="11" spans="1:9" ht="13.5" thickBot="1">
      <c r="A11" s="115">
        <f>ROW()</f>
        <v>11</v>
      </c>
      <c r="E11" s="4"/>
      <c r="F11" s="4"/>
      <c r="G11" s="4"/>
      <c r="H11" s="4"/>
      <c r="I11" s="4"/>
    </row>
    <row r="12" spans="1:9" ht="12.75">
      <c r="A12" s="115">
        <f>ROW()</f>
        <v>12</v>
      </c>
      <c r="B12" s="62" t="s">
        <v>4</v>
      </c>
      <c r="C12" s="63"/>
      <c r="D12" s="64"/>
      <c r="E12" s="378">
        <v>2.52</v>
      </c>
      <c r="F12" s="378">
        <v>2.52</v>
      </c>
      <c r="G12" s="378">
        <v>2.52</v>
      </c>
      <c r="H12" s="378">
        <v>2.52</v>
      </c>
      <c r="I12" s="379">
        <v>2.52</v>
      </c>
    </row>
    <row r="13" spans="1:9" ht="12.75" customHeight="1" thickBot="1">
      <c r="A13" s="115">
        <f>ROW()</f>
        <v>13</v>
      </c>
      <c r="B13" s="380" t="s">
        <v>253</v>
      </c>
      <c r="C13" s="68"/>
      <c r="D13" s="69"/>
      <c r="E13" s="387">
        <v>382.7558095238095</v>
      </c>
      <c r="F13" s="387">
        <v>382.7558095238095</v>
      </c>
      <c r="G13" s="387">
        <v>382.7558095238095</v>
      </c>
      <c r="H13" s="387">
        <v>382.7558095238095</v>
      </c>
      <c r="I13" s="388">
        <v>382.7558095238095</v>
      </c>
    </row>
    <row r="14" spans="1:9" ht="12.75" customHeight="1" thickBot="1">
      <c r="A14" s="115"/>
      <c r="E14" s="4"/>
      <c r="F14" s="4"/>
      <c r="G14" s="4"/>
      <c r="H14" s="4"/>
      <c r="I14" s="4"/>
    </row>
    <row r="15" spans="1:10" ht="12.75">
      <c r="A15" s="115">
        <f>ROW()</f>
        <v>15</v>
      </c>
      <c r="B15" s="62" t="s">
        <v>6</v>
      </c>
      <c r="C15" s="63"/>
      <c r="D15" s="64"/>
      <c r="E15" s="378">
        <v>167.45</v>
      </c>
      <c r="F15" s="378">
        <v>165.7</v>
      </c>
      <c r="G15" s="378">
        <v>165.7</v>
      </c>
      <c r="H15" s="378">
        <v>165.7</v>
      </c>
      <c r="I15" s="379">
        <v>165.7</v>
      </c>
      <c r="J15" s="1"/>
    </row>
    <row r="16" spans="1:9" ht="13.5" thickBot="1">
      <c r="A16" s="115">
        <f>ROW()</f>
        <v>16</v>
      </c>
      <c r="B16" s="380" t="s">
        <v>253</v>
      </c>
      <c r="C16" s="68"/>
      <c r="D16" s="69"/>
      <c r="E16" s="387">
        <v>91.30949596894597</v>
      </c>
      <c r="F16" s="387">
        <v>92.17414061557032</v>
      </c>
      <c r="G16" s="387">
        <v>92.17414061557032</v>
      </c>
      <c r="H16" s="387">
        <v>92.17414061557032</v>
      </c>
      <c r="I16" s="388">
        <v>92.17414061557032</v>
      </c>
    </row>
    <row r="17" spans="1:9" ht="13.5" thickBot="1">
      <c r="A17" s="115"/>
      <c r="E17" s="4"/>
      <c r="F17" s="4"/>
      <c r="G17" s="4"/>
      <c r="H17" s="4"/>
      <c r="I17" s="4"/>
    </row>
    <row r="18" spans="1:9" s="1" customFormat="1" ht="12.75">
      <c r="A18" s="115">
        <f>ROW()</f>
        <v>18</v>
      </c>
      <c r="B18" s="62" t="s">
        <v>8</v>
      </c>
      <c r="C18" s="63"/>
      <c r="D18" s="64"/>
      <c r="E18" s="378">
        <v>112.26733333333333</v>
      </c>
      <c r="F18" s="378">
        <v>112.26733333333333</v>
      </c>
      <c r="G18" s="378">
        <v>112.26733333333333</v>
      </c>
      <c r="H18" s="378">
        <v>112.26733333333333</v>
      </c>
      <c r="I18" s="379">
        <v>112.26733333333333</v>
      </c>
    </row>
    <row r="19" spans="1:9" ht="13.5" thickBot="1">
      <c r="A19" s="115">
        <f>ROW()</f>
        <v>19</v>
      </c>
      <c r="B19" s="380" t="s">
        <v>253</v>
      </c>
      <c r="C19" s="68"/>
      <c r="D19" s="69"/>
      <c r="E19" s="387">
        <v>127.49169304814106</v>
      </c>
      <c r="F19" s="387">
        <v>127.49169304814106</v>
      </c>
      <c r="G19" s="387">
        <v>127.49169304814106</v>
      </c>
      <c r="H19" s="387">
        <v>127.49169304814106</v>
      </c>
      <c r="I19" s="388">
        <v>127.49169304814106</v>
      </c>
    </row>
    <row r="20" ht="13.5" thickBot="1">
      <c r="A20" s="115">
        <f>ROW()</f>
        <v>20</v>
      </c>
    </row>
    <row r="21" spans="1:9" ht="12.75">
      <c r="A21" s="115">
        <f>ROW()</f>
        <v>21</v>
      </c>
      <c r="B21" s="62"/>
      <c r="C21" s="63"/>
      <c r="D21" s="71"/>
      <c r="E21" s="64">
        <v>2011</v>
      </c>
      <c r="F21" s="64">
        <v>2012</v>
      </c>
      <c r="G21" s="64">
        <v>2013</v>
      </c>
      <c r="H21" s="64">
        <v>2014</v>
      </c>
      <c r="I21" s="65">
        <v>2015</v>
      </c>
    </row>
    <row r="22" spans="1:9" ht="12.75">
      <c r="A22" s="115">
        <f>ROW()</f>
        <v>22</v>
      </c>
      <c r="B22" s="386" t="s">
        <v>254</v>
      </c>
      <c r="C22" s="204"/>
      <c r="D22" s="377"/>
      <c r="E22" s="73">
        <f>(E7/TotalKM)*E$3*E6*1000*Summary!G$41</f>
        <v>20486466.473336335</v>
      </c>
      <c r="F22" s="73">
        <f>(F7/TotalKM)*F$3*F6*1000*Summary!H$41</f>
        <v>21002594.5101242</v>
      </c>
      <c r="G22" s="73">
        <f>(G7/TotalKM)*G$3*G6*1000*Summary!I$41</f>
        <v>20971434.965534378</v>
      </c>
      <c r="H22" s="73">
        <f>(H7/TotalKM)*H$3*H6*1000*Summary!J$41</f>
        <v>21150031.809008945</v>
      </c>
      <c r="I22" s="74">
        <f>(I7/TotalKM)*I$3*I6*1000*Summary!K$41</f>
        <v>21344515.974864632</v>
      </c>
    </row>
    <row r="23" spans="1:9" ht="12.75">
      <c r="A23" s="115">
        <f>ROW()</f>
        <v>23</v>
      </c>
      <c r="B23" s="386" t="s">
        <v>2</v>
      </c>
      <c r="C23" s="29"/>
      <c r="D23" s="72"/>
      <c r="E23" s="73">
        <f>(E10/TotalKM)*E$3*E9*1000*Summary!G$41</f>
        <v>448337.0490806033</v>
      </c>
      <c r="F23" s="73">
        <f>(F10/TotalKM)*F$3*F9*1000*Summary!H$41</f>
        <v>449565.36976301594</v>
      </c>
      <c r="G23" s="73">
        <f>(G10/TotalKM)*G$3*G9*1000*Summary!I$41</f>
        <v>448337.0490806033</v>
      </c>
      <c r="H23" s="73">
        <f>(H10/TotalKM)*H$3*H9*1000*Summary!J$41</f>
        <v>448337.0490806033</v>
      </c>
      <c r="I23" s="74">
        <f>(I10/TotalKM)*I$3*I9*1000*Summary!K$41</f>
        <v>448337.0490806033</v>
      </c>
    </row>
    <row r="24" spans="1:9" ht="12.75">
      <c r="A24" s="115">
        <f>ROW()</f>
        <v>24</v>
      </c>
      <c r="B24" s="386" t="s">
        <v>4</v>
      </c>
      <c r="C24" s="29"/>
      <c r="D24" s="72"/>
      <c r="E24" s="73">
        <f>(E13/TotalKM)*E$3*E12*1000*Summary!G$41</f>
        <v>20094.550439656687</v>
      </c>
      <c r="F24" s="73">
        <f>(F13/TotalKM)*F$3*F12*1000*Summary!H$41</f>
        <v>20149.60400250506</v>
      </c>
      <c r="G24" s="73">
        <f>(G13/TotalKM)*G$3*G12*1000*Summary!I$41</f>
        <v>20094.550439656687</v>
      </c>
      <c r="H24" s="73">
        <f>(H13/TotalKM)*H$3*H12*1000*Summary!J$41</f>
        <v>20094.550439656687</v>
      </c>
      <c r="I24" s="74">
        <f>(I13/TotalKM)*I$3*I12*1000*Summary!K$41</f>
        <v>20094.550439656687</v>
      </c>
    </row>
    <row r="25" spans="1:9" ht="12.75">
      <c r="A25" s="115">
        <f>ROW()</f>
        <v>25</v>
      </c>
      <c r="B25" s="386" t="s">
        <v>6</v>
      </c>
      <c r="C25" s="29"/>
      <c r="D25" s="72"/>
      <c r="E25" s="73">
        <f>(E16/TotalKM)*E$3*E15*1000*Summary!G$41</f>
        <v>318534.9274844935</v>
      </c>
      <c r="F25" s="73">
        <f>(F16/TotalKM)*F$3*F15*1000*Summary!H$41</f>
        <v>319062.5185520091</v>
      </c>
      <c r="G25" s="73">
        <f>(G16/TotalKM)*G$3*G15*1000*Summary!I$41</f>
        <v>318190.7630368396</v>
      </c>
      <c r="H25" s="73">
        <f>(H16/TotalKM)*H$3*H15*1000*Summary!J$41</f>
        <v>318190.7630368396</v>
      </c>
      <c r="I25" s="74">
        <f>(I16/TotalKM)*I$3*I15*1000*Summary!K$41</f>
        <v>318190.7630368396</v>
      </c>
    </row>
    <row r="26" spans="1:9" ht="12.75">
      <c r="A26" s="115">
        <f>ROW()</f>
        <v>26</v>
      </c>
      <c r="B26" s="386" t="s">
        <v>8</v>
      </c>
      <c r="C26" s="29"/>
      <c r="D26" s="72"/>
      <c r="E26" s="73">
        <f>(E19/TotalKM)*E$3*E18*1000*Summary!G$41</f>
        <v>298188.7524310845</v>
      </c>
      <c r="F26" s="73">
        <f>(F19/TotalKM)*F$3*F18*1000*Summary!H$41</f>
        <v>299005.7079171971</v>
      </c>
      <c r="G26" s="73">
        <f>(G19/TotalKM)*G$3*G18*1000*Summary!I$41</f>
        <v>298188.7524310845</v>
      </c>
      <c r="H26" s="73">
        <f>(H19/TotalKM)*H$3*H18*1000*Summary!J$41</f>
        <v>298188.7524310845</v>
      </c>
      <c r="I26" s="74">
        <f>(I19/TotalKM)*I$3*I18*1000*Summary!K$41</f>
        <v>298188.7524310845</v>
      </c>
    </row>
    <row r="27" spans="1:9" ht="13.5" thickBot="1">
      <c r="A27" s="115">
        <f>ROW()</f>
        <v>27</v>
      </c>
      <c r="B27" s="383" t="s">
        <v>33</v>
      </c>
      <c r="C27" s="384"/>
      <c r="D27" s="385"/>
      <c r="E27" s="381">
        <f>SUM(E22:E26)</f>
        <v>21571621.75277217</v>
      </c>
      <c r="F27" s="381">
        <f>SUM(F22:F26)</f>
        <v>22090377.71035893</v>
      </c>
      <c r="G27" s="381">
        <f>SUM(G22:G26)</f>
        <v>22056246.08052256</v>
      </c>
      <c r="H27" s="381">
        <f>SUM(H22:H26)</f>
        <v>22234842.923997127</v>
      </c>
      <c r="I27" s="382">
        <f>SUM(I22:I26)</f>
        <v>22429327.089852814</v>
      </c>
    </row>
    <row r="28" ht="12.75">
      <c r="A28" s="115">
        <f>ROW()</f>
        <v>28</v>
      </c>
    </row>
    <row r="29" ht="12.75">
      <c r="A29" s="115">
        <f>ROW()</f>
        <v>29</v>
      </c>
    </row>
    <row r="30" ht="12.75">
      <c r="A30" s="115">
        <f>ROW()</f>
        <v>30</v>
      </c>
    </row>
    <row r="31" ht="12.75">
      <c r="A31" s="115">
        <f>ROW()</f>
        <v>31</v>
      </c>
    </row>
    <row r="32" ht="12.75">
      <c r="A32" s="115">
        <f>ROW()</f>
        <v>32</v>
      </c>
    </row>
    <row r="33" ht="12.75">
      <c r="A33" s="115">
        <f>ROW()</f>
        <v>33</v>
      </c>
    </row>
    <row r="34" ht="12.75">
      <c r="A34" s="115">
        <f>ROW()</f>
        <v>34</v>
      </c>
    </row>
    <row r="35" ht="12.75">
      <c r="A35" s="115">
        <f>ROW()</f>
        <v>35</v>
      </c>
    </row>
    <row r="36" ht="12.75">
      <c r="A36" s="115">
        <f>ROW()</f>
        <v>36</v>
      </c>
    </row>
    <row r="37" ht="12.75">
      <c r="A37" s="115">
        <f>ROW()</f>
        <v>37</v>
      </c>
    </row>
    <row r="38" ht="12.75">
      <c r="A38" s="115">
        <f>ROW()</f>
        <v>38</v>
      </c>
    </row>
    <row r="39" ht="12.75">
      <c r="A39" s="115">
        <f>ROW()</f>
        <v>39</v>
      </c>
    </row>
    <row r="40" ht="12.75">
      <c r="A40" s="115">
        <f>ROW()</f>
        <v>40</v>
      </c>
    </row>
    <row r="41" ht="12.75">
      <c r="A41" s="115">
        <f>ROW()</f>
        <v>41</v>
      </c>
    </row>
    <row r="42" ht="12.75">
      <c r="A42" s="115">
        <f>ROW()</f>
        <v>42</v>
      </c>
    </row>
    <row r="43" ht="12.75">
      <c r="A43" s="115">
        <f>ROW()</f>
        <v>43</v>
      </c>
    </row>
    <row r="44" ht="12.75">
      <c r="A44" s="115">
        <f>ROW()</f>
        <v>44</v>
      </c>
    </row>
    <row r="45" ht="12.75">
      <c r="A45" s="115">
        <f>ROW()</f>
        <v>45</v>
      </c>
    </row>
    <row r="46" ht="12.75">
      <c r="A46" s="115">
        <f>ROW()</f>
        <v>46</v>
      </c>
    </row>
    <row r="47" ht="12.75">
      <c r="A47" s="115">
        <f>ROW()</f>
        <v>47</v>
      </c>
    </row>
    <row r="48" ht="12.75">
      <c r="A48" s="115">
        <f>ROW()</f>
        <v>48</v>
      </c>
    </row>
    <row r="49" ht="12.75">
      <c r="A49" s="115">
        <f>ROW()</f>
        <v>49</v>
      </c>
    </row>
    <row r="50" ht="12.75">
      <c r="A50" s="115">
        <f>ROW()</f>
        <v>50</v>
      </c>
    </row>
    <row r="51" ht="12.75">
      <c r="A51" s="115">
        <f>ROW()</f>
        <v>51</v>
      </c>
    </row>
    <row r="52" ht="12.75">
      <c r="A52" s="115">
        <f>ROW()</f>
        <v>52</v>
      </c>
    </row>
    <row r="53" ht="12.75">
      <c r="A53" s="115">
        <f>ROW()</f>
        <v>53</v>
      </c>
    </row>
    <row r="54" ht="12.75">
      <c r="A54" s="115">
        <f>ROW()</f>
        <v>54</v>
      </c>
    </row>
    <row r="55" ht="12.75">
      <c r="A55" s="115">
        <f>ROW()</f>
        <v>55</v>
      </c>
    </row>
    <row r="56" ht="12.75">
      <c r="A56" s="115">
        <f>ROW()</f>
        <v>56</v>
      </c>
    </row>
    <row r="57" ht="12.75">
      <c r="A57" s="115">
        <f>ROW()</f>
        <v>57</v>
      </c>
    </row>
    <row r="58" ht="12.75">
      <c r="A58" s="115">
        <f>ROW()</f>
        <v>58</v>
      </c>
    </row>
    <row r="59" ht="12.75">
      <c r="A59" s="115">
        <f>ROW()</f>
        <v>59</v>
      </c>
    </row>
    <row r="60" ht="12.75">
      <c r="A60" s="115">
        <f>ROW()</f>
        <v>60</v>
      </c>
    </row>
    <row r="61" ht="12.75">
      <c r="A61" s="115">
        <f>ROW()</f>
        <v>61</v>
      </c>
    </row>
    <row r="62" ht="12.75">
      <c r="A62" s="115">
        <f>ROW()</f>
        <v>62</v>
      </c>
    </row>
    <row r="63" ht="12.75">
      <c r="A63" s="115">
        <f>ROW()</f>
        <v>63</v>
      </c>
    </row>
    <row r="64" ht="12.75">
      <c r="A64" s="115">
        <f>ROW()</f>
        <v>64</v>
      </c>
    </row>
    <row r="65" ht="12.75">
      <c r="A65" s="115">
        <f>ROW()</f>
        <v>65</v>
      </c>
    </row>
    <row r="66" ht="12.75">
      <c r="A66" s="115">
        <f>ROW()</f>
        <v>66</v>
      </c>
    </row>
    <row r="67" ht="12.75">
      <c r="A67" s="115">
        <f>ROW()</f>
        <v>67</v>
      </c>
    </row>
    <row r="68" ht="12.75">
      <c r="A68" s="115">
        <f>ROW()</f>
        <v>68</v>
      </c>
    </row>
    <row r="69" ht="12.75">
      <c r="A69" s="115">
        <f>ROW()</f>
        <v>69</v>
      </c>
    </row>
    <row r="70" ht="12.75">
      <c r="A70" s="115">
        <f>ROW()</f>
        <v>70</v>
      </c>
    </row>
    <row r="71" ht="12.75">
      <c r="A71" s="115">
        <f>ROW()</f>
        <v>71</v>
      </c>
    </row>
    <row r="72" ht="12.75">
      <c r="A72" s="115">
        <f>ROW()</f>
        <v>72</v>
      </c>
    </row>
    <row r="73" ht="12.75">
      <c r="A73" s="115">
        <f>ROW()</f>
        <v>73</v>
      </c>
    </row>
    <row r="74" ht="12.75">
      <c r="A74" s="115">
        <f>ROW()</f>
        <v>74</v>
      </c>
    </row>
    <row r="75" ht="12.75">
      <c r="A75" s="115">
        <f>ROW()</f>
        <v>75</v>
      </c>
    </row>
    <row r="76" ht="12.75">
      <c r="A76" s="115">
        <f>ROW()</f>
        <v>76</v>
      </c>
    </row>
    <row r="77" ht="12.75">
      <c r="A77" s="115">
        <f>ROW()</f>
        <v>77</v>
      </c>
    </row>
    <row r="78" ht="12.75">
      <c r="A78" s="115">
        <f>ROW()</f>
        <v>78</v>
      </c>
    </row>
    <row r="79" ht="12.75">
      <c r="A79" s="115">
        <f>ROW()</f>
        <v>79</v>
      </c>
    </row>
    <row r="80" ht="12.75">
      <c r="A80" s="115">
        <f>ROW()</f>
        <v>80</v>
      </c>
    </row>
    <row r="81" ht="12.75">
      <c r="A81" s="115">
        <f>ROW()</f>
        <v>81</v>
      </c>
    </row>
    <row r="82" ht="12.75">
      <c r="A82" s="115">
        <f>ROW()</f>
        <v>82</v>
      </c>
    </row>
    <row r="83" ht="12.75">
      <c r="A83" s="115">
        <f>ROW()</f>
        <v>83</v>
      </c>
    </row>
    <row r="84" ht="12.75">
      <c r="A84" s="115">
        <f>ROW()</f>
        <v>84</v>
      </c>
    </row>
    <row r="85" ht="12.75">
      <c r="A85" s="115">
        <f>ROW()</f>
        <v>85</v>
      </c>
    </row>
    <row r="86" ht="12.75">
      <c r="A86" s="115">
        <f>ROW()</f>
        <v>86</v>
      </c>
    </row>
    <row r="87" ht="12.75">
      <c r="A87" s="115">
        <f>ROW()</f>
        <v>87</v>
      </c>
    </row>
    <row r="88" ht="12.75">
      <c r="A88" s="115">
        <f>ROW()</f>
        <v>88</v>
      </c>
    </row>
    <row r="89" ht="12.75">
      <c r="A89" s="115">
        <f>ROW()</f>
        <v>89</v>
      </c>
    </row>
    <row r="90" ht="12.75">
      <c r="A90" s="115">
        <f>ROW()</f>
        <v>90</v>
      </c>
    </row>
    <row r="91" ht="12.75">
      <c r="A91" s="115">
        <f>ROW()</f>
        <v>91</v>
      </c>
    </row>
    <row r="92" ht="12.75">
      <c r="A92" s="115">
        <f>ROW()</f>
        <v>92</v>
      </c>
    </row>
    <row r="93" ht="12.75">
      <c r="A93" s="115">
        <f>ROW()</f>
        <v>93</v>
      </c>
    </row>
    <row r="94" ht="12.75">
      <c r="A94" s="115">
        <f>ROW()</f>
        <v>94</v>
      </c>
    </row>
    <row r="95" ht="12.75">
      <c r="A95" s="115">
        <f>ROW()</f>
        <v>95</v>
      </c>
    </row>
    <row r="96" ht="12.75">
      <c r="A96" s="115">
        <f>ROW()</f>
        <v>96</v>
      </c>
    </row>
    <row r="97" ht="12.75">
      <c r="A97" s="115">
        <f>ROW()</f>
        <v>97</v>
      </c>
    </row>
    <row r="98" ht="12.75">
      <c r="A98" s="115">
        <f>ROW()</f>
        <v>98</v>
      </c>
    </row>
    <row r="99" ht="12.75">
      <c r="A99" s="115">
        <f>ROW()</f>
        <v>99</v>
      </c>
    </row>
    <row r="100" ht="12.75">
      <c r="A100" s="115">
        <f>ROW()</f>
        <v>100</v>
      </c>
    </row>
    <row r="101" ht="12.75">
      <c r="A101" s="115">
        <f>ROW()</f>
        <v>101</v>
      </c>
    </row>
    <row r="102" ht="12.75">
      <c r="A102" s="115">
        <f>ROW()</f>
        <v>102</v>
      </c>
    </row>
    <row r="103" ht="12.75">
      <c r="A103" s="115">
        <f>ROW()</f>
        <v>103</v>
      </c>
    </row>
    <row r="104" ht="12.75">
      <c r="A104" s="115">
        <f>ROW()</f>
        <v>104</v>
      </c>
    </row>
    <row r="105" ht="12.75">
      <c r="A105" s="115">
        <f>ROW()</f>
        <v>105</v>
      </c>
    </row>
    <row r="106" ht="12.75">
      <c r="A106" s="115">
        <f>ROW()</f>
        <v>106</v>
      </c>
    </row>
    <row r="107" ht="12.75">
      <c r="A107" s="115">
        <f>ROW()</f>
        <v>107</v>
      </c>
    </row>
    <row r="108" ht="12.75">
      <c r="A108" s="115">
        <f>ROW()</f>
        <v>108</v>
      </c>
    </row>
    <row r="109" ht="12.75">
      <c r="A109" s="115">
        <f>ROW()</f>
        <v>109</v>
      </c>
    </row>
    <row r="110" ht="12.75">
      <c r="A110" s="115">
        <f>ROW()</f>
        <v>110</v>
      </c>
    </row>
    <row r="111" ht="12.75">
      <c r="A111" s="115">
        <f>ROW()</f>
        <v>111</v>
      </c>
    </row>
    <row r="112" ht="12.75">
      <c r="A112" s="115">
        <f>ROW()</f>
        <v>112</v>
      </c>
    </row>
    <row r="113" ht="12.75">
      <c r="A113" s="115">
        <f>ROW()</f>
        <v>113</v>
      </c>
    </row>
    <row r="114" ht="12.75">
      <c r="A114" s="115">
        <f>ROW()</f>
        <v>114</v>
      </c>
    </row>
    <row r="115" ht="12.75">
      <c r="A115" s="115">
        <f>ROW()</f>
        <v>115</v>
      </c>
    </row>
    <row r="116" ht="12.75">
      <c r="A116" s="115">
        <f>ROW()</f>
        <v>116</v>
      </c>
    </row>
    <row r="117" ht="12.75">
      <c r="A117" s="115">
        <f>ROW()</f>
        <v>117</v>
      </c>
    </row>
    <row r="118" ht="12.75">
      <c r="A118" s="115">
        <f>ROW()</f>
        <v>118</v>
      </c>
    </row>
    <row r="119" ht="12.75">
      <c r="A119" s="115">
        <f>ROW()</f>
        <v>119</v>
      </c>
    </row>
    <row r="120" ht="12.75">
      <c r="A120" s="115">
        <f>ROW()</f>
        <v>120</v>
      </c>
    </row>
    <row r="121" ht="12.75">
      <c r="A121" s="115">
        <f>ROW()</f>
        <v>121</v>
      </c>
    </row>
    <row r="122" ht="12.75">
      <c r="A122" s="115">
        <f>ROW()</f>
        <v>122</v>
      </c>
    </row>
    <row r="123" ht="12.75">
      <c r="A123" s="115">
        <f>ROW()</f>
        <v>123</v>
      </c>
    </row>
    <row r="124" ht="12.75">
      <c r="A124" s="115">
        <f>ROW()</f>
        <v>124</v>
      </c>
    </row>
    <row r="125" ht="12.75">
      <c r="A125" s="115">
        <f>ROW()</f>
        <v>125</v>
      </c>
    </row>
    <row r="126" ht="12.75">
      <c r="A126" s="115">
        <f>ROW()</f>
        <v>126</v>
      </c>
    </row>
    <row r="127" ht="12.75">
      <c r="A127" s="115">
        <f>ROW()</f>
        <v>127</v>
      </c>
    </row>
    <row r="128" ht="12.75">
      <c r="A128" s="115">
        <f>ROW()</f>
        <v>128</v>
      </c>
    </row>
    <row r="129" ht="12.75">
      <c r="A129" s="115">
        <f>ROW()</f>
        <v>129</v>
      </c>
    </row>
    <row r="130" ht="12.75">
      <c r="A130" s="115">
        <f>ROW()</f>
        <v>130</v>
      </c>
    </row>
    <row r="131" ht="12.75">
      <c r="A131" s="115">
        <f>ROW()</f>
        <v>131</v>
      </c>
    </row>
    <row r="132" ht="12.75">
      <c r="A132" s="115">
        <f>ROW()</f>
        <v>132</v>
      </c>
    </row>
    <row r="133" ht="12.75">
      <c r="A133" s="115">
        <f>ROW()</f>
        <v>133</v>
      </c>
    </row>
    <row r="134" ht="12.75">
      <c r="A134" s="115">
        <f>ROW()</f>
        <v>134</v>
      </c>
    </row>
    <row r="135" ht="12.75">
      <c r="A135" s="115">
        <f>ROW()</f>
        <v>135</v>
      </c>
    </row>
    <row r="136" ht="12.75">
      <c r="A136" s="115">
        <f>ROW()</f>
        <v>136</v>
      </c>
    </row>
    <row r="137" ht="12.75">
      <c r="A137" s="115">
        <f>ROW()</f>
        <v>137</v>
      </c>
    </row>
    <row r="138" ht="12.75">
      <c r="A138" s="115">
        <f>ROW()</f>
        <v>138</v>
      </c>
    </row>
    <row r="139" ht="12.75">
      <c r="A139" s="115">
        <f>ROW()</f>
        <v>139</v>
      </c>
    </row>
    <row r="140" ht="12.75">
      <c r="A140" s="115">
        <f>ROW()</f>
        <v>140</v>
      </c>
    </row>
    <row r="141" ht="12.75">
      <c r="A141" s="115">
        <f>ROW()</f>
        <v>141</v>
      </c>
    </row>
    <row r="142" ht="12.75">
      <c r="A142" s="115">
        <f>ROW()</f>
        <v>142</v>
      </c>
    </row>
    <row r="143" ht="12.75">
      <c r="A143" s="115">
        <f>ROW()</f>
        <v>143</v>
      </c>
    </row>
    <row r="144" ht="12.75">
      <c r="A144" s="115">
        <f>ROW()</f>
        <v>144</v>
      </c>
    </row>
    <row r="145" ht="12.75">
      <c r="A145" s="115">
        <f>ROW()</f>
        <v>145</v>
      </c>
    </row>
    <row r="146" ht="12.75">
      <c r="A146" s="115">
        <f>ROW()</f>
        <v>146</v>
      </c>
    </row>
    <row r="147" ht="12.75">
      <c r="A147" s="115">
        <f>ROW()</f>
        <v>147</v>
      </c>
    </row>
    <row r="148" ht="12.75">
      <c r="A148" s="115">
        <f>ROW()</f>
        <v>148</v>
      </c>
    </row>
    <row r="149" ht="12.75">
      <c r="A149" s="115">
        <f>ROW()</f>
        <v>149</v>
      </c>
    </row>
    <row r="150" ht="12.75">
      <c r="A150" s="115">
        <f>ROW()</f>
        <v>150</v>
      </c>
    </row>
    <row r="151" ht="12.75">
      <c r="A151" s="115">
        <f>ROW()</f>
        <v>151</v>
      </c>
    </row>
    <row r="152" ht="12.75">
      <c r="A152" s="115">
        <f>ROW()</f>
        <v>152</v>
      </c>
    </row>
    <row r="153" ht="12.75">
      <c r="A153" s="115">
        <f>ROW()</f>
        <v>153</v>
      </c>
    </row>
    <row r="154" ht="12.75">
      <c r="A154" s="115">
        <f>ROW()</f>
        <v>154</v>
      </c>
    </row>
    <row r="155" ht="12.75">
      <c r="A155" s="115">
        <f>ROW()</f>
        <v>155</v>
      </c>
    </row>
    <row r="156" ht="12.75">
      <c r="A156" s="115">
        <f>ROW()</f>
        <v>156</v>
      </c>
    </row>
    <row r="157" ht="12.75">
      <c r="A157" s="115">
        <f>ROW()</f>
        <v>157</v>
      </c>
    </row>
    <row r="158" ht="12.75">
      <c r="A158" s="115">
        <f>ROW()</f>
        <v>158</v>
      </c>
    </row>
    <row r="159" ht="12.75">
      <c r="A159" s="115">
        <f>ROW()</f>
        <v>159</v>
      </c>
    </row>
    <row r="160" ht="12.75">
      <c r="A160" s="115">
        <f>ROW()</f>
        <v>160</v>
      </c>
    </row>
  </sheetData>
  <sheetProtection/>
  <printOptions/>
  <pageMargins left="0.75" right="0.75" top="1" bottom="1" header="0.5" footer="0.5"/>
  <pageSetup fitToHeight="1" fitToWidth="1" horizontalDpi="300" verticalDpi="300" orientation="portrait" paperSize="9" scale="49" r:id="rId1"/>
  <headerFooter alignWithMargins="0">
    <oddFooter>&amp;L&amp;A&amp;C&amp;F&amp;R&amp;P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L274"/>
  <sheetViews>
    <sheetView showGridLines="0" zoomScalePageLayoutView="0" workbookViewId="0" topLeftCell="A1">
      <selection activeCell="G40" sqref="G40"/>
    </sheetView>
  </sheetViews>
  <sheetFormatPr defaultColWidth="9.140625" defaultRowHeight="12.75"/>
  <cols>
    <col min="1" max="1" width="4.00390625" style="0" bestFit="1" customWidth="1"/>
    <col min="2" max="2" width="36.7109375" style="0" customWidth="1"/>
    <col min="3" max="3" width="8.7109375" style="0" customWidth="1"/>
    <col min="4" max="4" width="8.7109375" style="4" customWidth="1"/>
    <col min="5" max="6" width="9.7109375" style="4" bestFit="1" customWidth="1"/>
    <col min="7" max="7" width="10.57421875" style="4" bestFit="1" customWidth="1"/>
    <col min="8" max="8" width="10.7109375" style="4" bestFit="1" customWidth="1"/>
  </cols>
  <sheetData>
    <row r="1" spans="1:2" s="113" customFormat="1" ht="15">
      <c r="A1" s="111"/>
      <c r="B1" s="112" t="s">
        <v>57</v>
      </c>
    </row>
    <row r="2" ht="12.75">
      <c r="A2" s="115">
        <f>ROW()</f>
        <v>2</v>
      </c>
    </row>
    <row r="3" spans="1:8" s="1" customFormat="1" ht="12.75">
      <c r="A3" s="115">
        <f>ROW()</f>
        <v>3</v>
      </c>
      <c r="D3" s="1">
        <v>2011</v>
      </c>
      <c r="E3" s="1">
        <v>2012</v>
      </c>
      <c r="F3" s="1">
        <v>2013</v>
      </c>
      <c r="G3" s="1">
        <v>2014</v>
      </c>
      <c r="H3" s="1">
        <v>2015</v>
      </c>
    </row>
    <row r="4" spans="1:8" ht="12.75">
      <c r="A4" s="115">
        <f>ROW()</f>
        <v>4</v>
      </c>
      <c r="B4" s="1" t="s">
        <v>52</v>
      </c>
      <c r="D4"/>
      <c r="E4" s="17"/>
      <c r="F4" s="17"/>
      <c r="G4" s="17"/>
      <c r="H4" s="17"/>
    </row>
    <row r="5" spans="1:9" ht="12.75">
      <c r="A5" s="115">
        <f>ROW()</f>
        <v>5</v>
      </c>
      <c r="B5" t="s">
        <v>100</v>
      </c>
      <c r="D5" s="14">
        <v>27.044</v>
      </c>
      <c r="E5" s="14">
        <v>28.936999999999998</v>
      </c>
      <c r="F5" s="14">
        <v>30.963</v>
      </c>
      <c r="G5" s="14">
        <v>33.13</v>
      </c>
      <c r="H5" s="14">
        <v>34.786</v>
      </c>
      <c r="I5" s="103"/>
    </row>
    <row r="6" spans="1:9" ht="12.75">
      <c r="A6" s="115">
        <f>ROW()</f>
        <v>6</v>
      </c>
      <c r="B6" t="s">
        <v>101</v>
      </c>
      <c r="D6" s="14">
        <v>18.433000000000003</v>
      </c>
      <c r="E6" s="14">
        <v>18.907</v>
      </c>
      <c r="F6" s="14">
        <v>19.393000000000004</v>
      </c>
      <c r="G6" s="14">
        <v>20.505</v>
      </c>
      <c r="H6" s="14">
        <v>21.031</v>
      </c>
      <c r="I6" s="103"/>
    </row>
    <row r="7" spans="1:9" ht="12.75">
      <c r="A7" s="115">
        <f>ROW()</f>
        <v>7</v>
      </c>
      <c r="B7" t="s">
        <v>103</v>
      </c>
      <c r="D7" s="14">
        <v>19.147</v>
      </c>
      <c r="E7" s="14">
        <v>19.639</v>
      </c>
      <c r="F7" s="14">
        <v>20.143</v>
      </c>
      <c r="G7" s="14">
        <v>20.66</v>
      </c>
      <c r="H7" s="14">
        <v>21.192</v>
      </c>
      <c r="I7" s="103"/>
    </row>
    <row r="8" spans="1:9" ht="12.75">
      <c r="A8" s="115">
        <f>ROW()</f>
        <v>8</v>
      </c>
      <c r="B8" t="s">
        <v>102</v>
      </c>
      <c r="D8" s="14">
        <v>11.238</v>
      </c>
      <c r="E8" s="14">
        <v>15.24589821</v>
      </c>
      <c r="F8" s="14">
        <v>19.261910298</v>
      </c>
      <c r="G8" s="14">
        <v>19.832465907</v>
      </c>
      <c r="H8" s="14">
        <v>20.376503265</v>
      </c>
      <c r="I8" s="103"/>
    </row>
    <row r="9" spans="1:8" s="10" customFormat="1" ht="12.75">
      <c r="A9" s="115">
        <f>ROW()</f>
        <v>9</v>
      </c>
      <c r="B9" s="10" t="s">
        <v>104</v>
      </c>
      <c r="D9" s="14">
        <v>1.2</v>
      </c>
      <c r="E9" s="14">
        <v>1.231</v>
      </c>
      <c r="F9" s="14">
        <v>1.263</v>
      </c>
      <c r="G9" s="14">
        <v>1.295</v>
      </c>
      <c r="H9" s="14">
        <v>1.328</v>
      </c>
    </row>
    <row r="10" spans="1:8" ht="12.75">
      <c r="A10" s="115">
        <f>ROW()</f>
        <v>10</v>
      </c>
      <c r="B10" t="s">
        <v>224</v>
      </c>
      <c r="D10" s="14">
        <v>20.91919445379827</v>
      </c>
      <c r="E10" s="14">
        <v>22.669859292538124</v>
      </c>
      <c r="F10" s="14">
        <v>23.152669284093356</v>
      </c>
      <c r="G10" s="14">
        <v>26.156109933578907</v>
      </c>
      <c r="H10" s="14">
        <v>27.322111738406218</v>
      </c>
    </row>
    <row r="11" spans="1:8" s="1" customFormat="1" ht="12.75">
      <c r="A11" s="115">
        <f>ROW()</f>
        <v>11</v>
      </c>
      <c r="B11" s="1" t="s">
        <v>15</v>
      </c>
      <c r="D11" s="5">
        <f>SUM(D5:D10)</f>
        <v>97.98119445379827</v>
      </c>
      <c r="E11" s="5">
        <f>SUM(E5:E10)</f>
        <v>106.6297575025381</v>
      </c>
      <c r="F11" s="5">
        <f>SUM(F5:F10)</f>
        <v>114.17657958209338</v>
      </c>
      <c r="G11" s="5">
        <f>SUM(G5:G10)</f>
        <v>121.5785758405789</v>
      </c>
      <c r="H11" s="5">
        <f>SUM(H5:H10)</f>
        <v>126.03561500340622</v>
      </c>
    </row>
    <row r="12" spans="1:8" ht="12.75">
      <c r="A12" s="115">
        <f>ROW()</f>
        <v>12</v>
      </c>
      <c r="D12" s="9"/>
      <c r="E12" s="9"/>
      <c r="F12" s="9"/>
      <c r="G12" s="9"/>
      <c r="H12" s="9"/>
    </row>
    <row r="13" spans="1:8" ht="12.75">
      <c r="A13" s="115">
        <f>ROW()</f>
        <v>13</v>
      </c>
      <c r="C13" s="13" t="s">
        <v>25</v>
      </c>
      <c r="D13" s="13">
        <f>INDEX(CPIindex,MATCH(IF(CompareYear="Nominal",D$3,CompareYear),CPIindexYRs,0))/INDEX(CPIindex,MATCH(D$3,CPIindexYRs,0))</f>
        <v>0.9749439407234083</v>
      </c>
      <c r="E13" s="13">
        <f>INDEX(CPIindex,MATCH(IF(CompareYear="Nominal",E$3,CompareYear),CPIindexYRs,0))/INDEX(CPIindex,MATCH(E$3,CPIindexYRs,0))</f>
        <v>0.9505156875532887</v>
      </c>
      <c r="F13" s="13">
        <f>INDEX(CPIindex,MATCH(IF(CompareYear="Nominal",F$3,CompareYear),CPIindexYRs,0))/INDEX(CPIindex,MATCH(F$3,CPIindexYRs,0))</f>
        <v>0.9266995101426233</v>
      </c>
      <c r="G13" s="13">
        <f>INDEX(CPIindex,MATCH(IF(CompareYear="Nominal",G$3,CompareYear),CPIindexYRs,0))/INDEX(CPIindex,MATCH(G$3,CPIindexYRs,0))</f>
        <v>0.9034800722849013</v>
      </c>
      <c r="H13" s="13">
        <f>INDEX(CPIindex,MATCH(IF(CompareYear="Nominal",H$3,CompareYear),CPIindexYRs,0))/INDEX(CPIindex,MATCH(H$3,CPIindexYRs,0))</f>
        <v>0.8808424220385116</v>
      </c>
    </row>
    <row r="14" spans="1:3" ht="12.75">
      <c r="A14" s="115">
        <f>ROW()</f>
        <v>14</v>
      </c>
      <c r="B14" s="1" t="str">
        <f>"Operating Expenditure in "&amp;CompareYear&amp;" $'s"</f>
        <v>Operating Expenditure in 2010 $'s</v>
      </c>
      <c r="C14" s="4"/>
    </row>
    <row r="15" spans="1:8" ht="12.75">
      <c r="A15" s="115">
        <f>ROW()</f>
        <v>15</v>
      </c>
      <c r="B15" t="str">
        <f aca="true" t="shared" si="0" ref="B15:B20">B5</f>
        <v>Wages &amp; Salaries</v>
      </c>
      <c r="C15" s="4"/>
      <c r="D15" s="12">
        <f aca="true" t="shared" si="1" ref="D15:H20">D5*D$13</f>
        <v>26.366383932923853</v>
      </c>
      <c r="E15" s="12">
        <f t="shared" si="1"/>
        <v>27.505072450729514</v>
      </c>
      <c r="F15" s="12">
        <f t="shared" si="1"/>
        <v>28.693396932546047</v>
      </c>
      <c r="G15" s="12">
        <f t="shared" si="1"/>
        <v>29.932294794798786</v>
      </c>
      <c r="H15" s="12">
        <f t="shared" si="1"/>
        <v>30.640984493031667</v>
      </c>
    </row>
    <row r="16" spans="1:8" ht="12.75">
      <c r="A16" s="115">
        <f>ROW()</f>
        <v>16</v>
      </c>
      <c r="B16" t="str">
        <f t="shared" si="0"/>
        <v>Non-Field Expense</v>
      </c>
      <c r="C16" s="4"/>
      <c r="D16" s="12">
        <f t="shared" si="1"/>
        <v>17.97114165935459</v>
      </c>
      <c r="E16" s="12">
        <f t="shared" si="1"/>
        <v>17.97140010457003</v>
      </c>
      <c r="F16" s="12">
        <f t="shared" si="1"/>
        <v>17.9714836001959</v>
      </c>
      <c r="G16" s="12">
        <f t="shared" si="1"/>
        <v>18.525858882201902</v>
      </c>
      <c r="H16" s="12">
        <f t="shared" si="1"/>
        <v>18.524996977891938</v>
      </c>
    </row>
    <row r="17" spans="1:8" ht="12.75">
      <c r="A17" s="115">
        <f>ROW()</f>
        <v>17</v>
      </c>
      <c r="B17" t="str">
        <f t="shared" si="0"/>
        <v>Field Expense</v>
      </c>
      <c r="C17" s="4"/>
      <c r="D17" s="12">
        <f t="shared" si="1"/>
        <v>18.667251633031096</v>
      </c>
      <c r="E17" s="12">
        <f t="shared" si="1"/>
        <v>18.667177587859037</v>
      </c>
      <c r="F17" s="12">
        <f t="shared" si="1"/>
        <v>18.66650823280286</v>
      </c>
      <c r="G17" s="12">
        <f t="shared" si="1"/>
        <v>18.665898293406062</v>
      </c>
      <c r="H17" s="12">
        <f t="shared" si="1"/>
        <v>18.66681260784014</v>
      </c>
    </row>
    <row r="18" spans="1:8" ht="12.75">
      <c r="A18" s="115">
        <f>ROW()</f>
        <v>18</v>
      </c>
      <c r="B18" t="str">
        <f t="shared" si="0"/>
        <v>Government Charges</v>
      </c>
      <c r="C18" s="4"/>
      <c r="D18" s="12">
        <f t="shared" si="1"/>
        <v>10.956420005849662</v>
      </c>
      <c r="E18" s="12">
        <f t="shared" si="1"/>
        <v>14.491465419445603</v>
      </c>
      <c r="F18" s="12">
        <f t="shared" si="1"/>
        <v>17.85000283756775</v>
      </c>
      <c r="G18" s="12">
        <f t="shared" si="1"/>
        <v>17.9182377312442</v>
      </c>
      <c r="H18" s="12">
        <f t="shared" si="1"/>
        <v>17.94848848861824</v>
      </c>
    </row>
    <row r="19" spans="1:8" ht="12.75">
      <c r="A19" s="115">
        <f>ROW()</f>
        <v>19</v>
      </c>
      <c r="B19" t="s">
        <v>104</v>
      </c>
      <c r="C19" s="4"/>
      <c r="D19" s="12">
        <f t="shared" si="1"/>
        <v>1.1699327288680899</v>
      </c>
      <c r="E19" s="12">
        <f t="shared" si="1"/>
        <v>1.1700848113780986</v>
      </c>
      <c r="F19" s="12">
        <f t="shared" si="1"/>
        <v>1.1704214813101332</v>
      </c>
      <c r="G19" s="12">
        <f t="shared" si="1"/>
        <v>1.1700066936089473</v>
      </c>
      <c r="H19" s="12">
        <f t="shared" si="1"/>
        <v>1.1697587364671436</v>
      </c>
    </row>
    <row r="20" spans="1:8" ht="12.75">
      <c r="A20" s="115">
        <f>ROW()</f>
        <v>20</v>
      </c>
      <c r="B20" t="str">
        <f t="shared" si="0"/>
        <v>System Use Gas (full haul)</v>
      </c>
      <c r="D20" s="12">
        <f t="shared" si="1"/>
        <v>20.395041877545353</v>
      </c>
      <c r="E20" s="12">
        <f t="shared" si="1"/>
        <v>21.548056892183187</v>
      </c>
      <c r="F20" s="12">
        <f t="shared" si="1"/>
        <v>21.455567284063473</v>
      </c>
      <c r="G20" s="12">
        <f t="shared" si="1"/>
        <v>23.631524093481698</v>
      </c>
      <c r="H20" s="12">
        <f t="shared" si="1"/>
        <v>24.06647507886458</v>
      </c>
    </row>
    <row r="21" spans="1:12" ht="12.75">
      <c r="A21" s="115">
        <f>ROW()</f>
        <v>21</v>
      </c>
      <c r="B21" s="1" t="s">
        <v>15</v>
      </c>
      <c r="D21" s="5">
        <f>SUM(D15:D20)</f>
        <v>95.52617183757265</v>
      </c>
      <c r="E21" s="5">
        <f>SUM(E15:E20)</f>
        <v>101.35325726616547</v>
      </c>
      <c r="F21" s="5">
        <f>SUM(F15:F20)</f>
        <v>105.80738036848616</v>
      </c>
      <c r="G21" s="5">
        <f>SUM(G15:G20)</f>
        <v>109.84382048874161</v>
      </c>
      <c r="H21" s="5">
        <f>SUM(H15:H20)</f>
        <v>111.01751638271371</v>
      </c>
      <c r="L21" s="14"/>
    </row>
    <row r="22" spans="1:12" ht="12.75">
      <c r="A22" s="115">
        <f>ROW()</f>
        <v>22</v>
      </c>
      <c r="L22" s="14"/>
    </row>
    <row r="23" spans="1:12" ht="12.75">
      <c r="A23" s="115">
        <f>ROW()</f>
        <v>23</v>
      </c>
      <c r="L23" s="14"/>
    </row>
    <row r="24" spans="1:12" ht="12.75">
      <c r="A24" s="115">
        <f>ROW()</f>
        <v>24</v>
      </c>
      <c r="L24" s="14"/>
    </row>
    <row r="25" spans="1:12" ht="12.75">
      <c r="A25" s="115">
        <f>ROW()</f>
        <v>25</v>
      </c>
      <c r="L25" s="5"/>
    </row>
    <row r="26" ht="12.75">
      <c r="A26" s="115">
        <f>ROW()</f>
        <v>26</v>
      </c>
    </row>
    <row r="27" ht="12.75">
      <c r="A27" s="115">
        <f>ROW()</f>
        <v>27</v>
      </c>
    </row>
    <row r="28" ht="12.75">
      <c r="A28" s="115">
        <f>ROW()</f>
        <v>28</v>
      </c>
    </row>
    <row r="29" ht="12.75">
      <c r="A29" s="115">
        <f>ROW()</f>
        <v>29</v>
      </c>
    </row>
    <row r="30" spans="1:10" ht="12.75">
      <c r="A30" s="115">
        <f>ROW()</f>
        <v>30</v>
      </c>
      <c r="C30" s="28"/>
      <c r="D30" s="29"/>
      <c r="E30" s="29"/>
      <c r="F30" s="29"/>
      <c r="G30" s="29"/>
      <c r="H30" s="29"/>
      <c r="I30" s="28"/>
      <c r="J30" s="28"/>
    </row>
    <row r="31" spans="1:10" ht="12.75">
      <c r="A31" s="115">
        <f>ROW()</f>
        <v>31</v>
      </c>
      <c r="C31" s="28"/>
      <c r="D31" s="29"/>
      <c r="E31" s="29"/>
      <c r="F31" s="29"/>
      <c r="G31" s="29"/>
      <c r="H31" s="29"/>
      <c r="I31" s="28"/>
      <c r="J31" s="28"/>
    </row>
    <row r="32" spans="1:10" ht="12.75">
      <c r="A32" s="115">
        <f>ROW()</f>
        <v>32</v>
      </c>
      <c r="C32" s="28"/>
      <c r="D32" s="29"/>
      <c r="E32" s="123"/>
      <c r="F32" s="123"/>
      <c r="G32" s="123"/>
      <c r="H32" s="123"/>
      <c r="I32" s="123"/>
      <c r="J32" s="28"/>
    </row>
    <row r="33" spans="1:10" ht="12.75">
      <c r="A33" s="115">
        <f>ROW()</f>
        <v>33</v>
      </c>
      <c r="C33" s="28"/>
      <c r="D33" s="29"/>
      <c r="E33" s="124"/>
      <c r="F33" s="123"/>
      <c r="G33" s="123"/>
      <c r="H33" s="123"/>
      <c r="I33" s="123"/>
      <c r="J33" s="28"/>
    </row>
    <row r="34" spans="1:10" ht="12.75">
      <c r="A34" s="115">
        <f>ROW()</f>
        <v>34</v>
      </c>
      <c r="C34" s="28"/>
      <c r="D34" s="29"/>
      <c r="E34" s="125"/>
      <c r="F34" s="125"/>
      <c r="G34" s="125"/>
      <c r="H34" s="125"/>
      <c r="I34" s="125"/>
      <c r="J34" s="28"/>
    </row>
    <row r="35" spans="1:10" ht="12.75">
      <c r="A35" s="115">
        <f>ROW()</f>
        <v>35</v>
      </c>
      <c r="C35" s="28"/>
      <c r="D35" s="29"/>
      <c r="E35" s="125"/>
      <c r="F35" s="125"/>
      <c r="G35" s="125"/>
      <c r="H35" s="125"/>
      <c r="I35" s="125"/>
      <c r="J35" s="28"/>
    </row>
    <row r="36" spans="1:10" ht="12.75">
      <c r="A36" s="115">
        <f>ROW()</f>
        <v>36</v>
      </c>
      <c r="C36" s="28"/>
      <c r="D36" s="29"/>
      <c r="E36" s="29"/>
      <c r="F36" s="29"/>
      <c r="G36" s="29"/>
      <c r="H36" s="29"/>
      <c r="I36" s="29"/>
      <c r="J36" s="28"/>
    </row>
    <row r="37" spans="1:10" ht="12.75">
      <c r="A37" s="115">
        <f>ROW()</f>
        <v>37</v>
      </c>
      <c r="C37" s="28"/>
      <c r="D37" s="29"/>
      <c r="E37" s="29"/>
      <c r="F37" s="29"/>
      <c r="G37" s="29"/>
      <c r="H37" s="29"/>
      <c r="I37" s="28"/>
      <c r="J37" s="28"/>
    </row>
    <row r="38" spans="1:10" ht="12.75">
      <c r="A38" s="115">
        <f>ROW()</f>
        <v>38</v>
      </c>
      <c r="C38" s="28"/>
      <c r="D38" s="29"/>
      <c r="E38" s="29"/>
      <c r="F38" s="29"/>
      <c r="G38" s="29"/>
      <c r="H38" s="29"/>
      <c r="I38" s="28"/>
      <c r="J38" s="28"/>
    </row>
    <row r="39" spans="1:10" ht="12.75">
      <c r="A39" s="115">
        <f>ROW()</f>
        <v>39</v>
      </c>
      <c r="C39" s="28"/>
      <c r="D39" s="29"/>
      <c r="E39" s="29"/>
      <c r="F39" s="29"/>
      <c r="G39" s="29"/>
      <c r="H39" s="29"/>
      <c r="I39" s="28"/>
      <c r="J39" s="28"/>
    </row>
    <row r="40" spans="1:10" ht="12.75">
      <c r="A40" s="115">
        <f>ROW()</f>
        <v>40</v>
      </c>
      <c r="C40" s="28"/>
      <c r="D40" s="29"/>
      <c r="E40" s="29"/>
      <c r="F40" s="29"/>
      <c r="G40" s="29"/>
      <c r="H40" s="29"/>
      <c r="I40" s="28"/>
      <c r="J40" s="28"/>
    </row>
    <row r="41" ht="12.75">
      <c r="A41" s="115">
        <f>ROW()</f>
        <v>41</v>
      </c>
    </row>
    <row r="42" ht="12.75">
      <c r="A42" s="115">
        <f>ROW()</f>
        <v>42</v>
      </c>
    </row>
    <row r="43" ht="12.75">
      <c r="A43" s="115">
        <f>ROW()</f>
        <v>43</v>
      </c>
    </row>
    <row r="44" ht="12.75">
      <c r="A44" s="115">
        <f>ROW()</f>
        <v>44</v>
      </c>
    </row>
    <row r="45" ht="12.75">
      <c r="A45" s="115">
        <f>ROW()</f>
        <v>45</v>
      </c>
    </row>
    <row r="46" ht="12.75">
      <c r="A46" s="115">
        <f>ROW()</f>
        <v>46</v>
      </c>
    </row>
    <row r="47" ht="12.75">
      <c r="A47" s="115">
        <f>ROW()</f>
        <v>47</v>
      </c>
    </row>
    <row r="48" ht="12.75">
      <c r="A48" s="115">
        <f>ROW()</f>
        <v>48</v>
      </c>
    </row>
    <row r="49" ht="12.75">
      <c r="A49" s="115">
        <f>ROW()</f>
        <v>49</v>
      </c>
    </row>
    <row r="50" ht="12.75">
      <c r="A50" s="115">
        <f>ROW()</f>
        <v>50</v>
      </c>
    </row>
    <row r="51" ht="12.75">
      <c r="A51" s="115">
        <f>ROW()</f>
        <v>51</v>
      </c>
    </row>
    <row r="52" ht="12.75">
      <c r="A52" s="115">
        <f>ROW()</f>
        <v>52</v>
      </c>
    </row>
    <row r="53" ht="12.75">
      <c r="A53" s="115">
        <f>ROW()</f>
        <v>53</v>
      </c>
    </row>
    <row r="54" ht="12.75">
      <c r="A54" s="115">
        <f>ROW()</f>
        <v>54</v>
      </c>
    </row>
    <row r="55" ht="12.75">
      <c r="A55" s="115">
        <f>ROW()</f>
        <v>55</v>
      </c>
    </row>
    <row r="56" ht="12.75">
      <c r="A56" s="115">
        <f>ROW()</f>
        <v>56</v>
      </c>
    </row>
    <row r="57" ht="12.75">
      <c r="A57" s="115">
        <f>ROW()</f>
        <v>57</v>
      </c>
    </row>
    <row r="58" ht="12.75">
      <c r="A58" s="115">
        <f>ROW()</f>
        <v>58</v>
      </c>
    </row>
    <row r="59" ht="12.75">
      <c r="A59" s="115">
        <f>ROW()</f>
        <v>59</v>
      </c>
    </row>
    <row r="60" ht="12.75">
      <c r="A60" s="115">
        <f>ROW()</f>
        <v>60</v>
      </c>
    </row>
    <row r="61" ht="12.75">
      <c r="A61" s="115">
        <f>ROW()</f>
        <v>61</v>
      </c>
    </row>
    <row r="62" ht="12.75">
      <c r="A62" s="115">
        <f>ROW()</f>
        <v>62</v>
      </c>
    </row>
    <row r="63" ht="12.75">
      <c r="A63" s="115">
        <f>ROW()</f>
        <v>63</v>
      </c>
    </row>
    <row r="64" ht="12.75">
      <c r="A64" s="115">
        <f>ROW()</f>
        <v>64</v>
      </c>
    </row>
    <row r="65" ht="12.75">
      <c r="A65" s="115">
        <f>ROW()</f>
        <v>65</v>
      </c>
    </row>
    <row r="66" ht="12.75">
      <c r="A66" s="115">
        <f>ROW()</f>
        <v>66</v>
      </c>
    </row>
    <row r="67" ht="12.75">
      <c r="A67" s="115">
        <f>ROW()</f>
        <v>67</v>
      </c>
    </row>
    <row r="68" ht="12.75">
      <c r="A68" s="115">
        <f>ROW()</f>
        <v>68</v>
      </c>
    </row>
    <row r="69" ht="12.75">
      <c r="A69" s="115">
        <f>ROW()</f>
        <v>69</v>
      </c>
    </row>
    <row r="70" ht="12.75">
      <c r="A70" s="115">
        <f>ROW()</f>
        <v>70</v>
      </c>
    </row>
    <row r="71" ht="12.75">
      <c r="A71" s="115">
        <f>ROW()</f>
        <v>71</v>
      </c>
    </row>
    <row r="72" ht="12.75">
      <c r="A72" s="115">
        <f>ROW()</f>
        <v>72</v>
      </c>
    </row>
    <row r="73" ht="12.75">
      <c r="A73" s="115">
        <f>ROW()</f>
        <v>73</v>
      </c>
    </row>
    <row r="74" ht="12.75">
      <c r="A74" s="115">
        <f>ROW()</f>
        <v>74</v>
      </c>
    </row>
    <row r="75" ht="12.75">
      <c r="A75" s="115">
        <f>ROW()</f>
        <v>75</v>
      </c>
    </row>
    <row r="76" ht="12.75">
      <c r="A76" s="115">
        <f>ROW()</f>
        <v>76</v>
      </c>
    </row>
    <row r="77" ht="12.75">
      <c r="A77" s="115">
        <f>ROW()</f>
        <v>77</v>
      </c>
    </row>
    <row r="78" ht="12.75">
      <c r="A78" s="115">
        <f>ROW()</f>
        <v>78</v>
      </c>
    </row>
    <row r="79" ht="12.75">
      <c r="A79" s="115">
        <f>ROW()</f>
        <v>79</v>
      </c>
    </row>
    <row r="80" ht="12.75">
      <c r="A80" s="115">
        <f>ROW()</f>
        <v>80</v>
      </c>
    </row>
    <row r="81" ht="12.75">
      <c r="A81" s="115">
        <f>ROW()</f>
        <v>81</v>
      </c>
    </row>
    <row r="82" ht="12.75">
      <c r="A82" s="115">
        <f>ROW()</f>
        <v>82</v>
      </c>
    </row>
    <row r="83" ht="12.75">
      <c r="A83" s="115">
        <f>ROW()</f>
        <v>83</v>
      </c>
    </row>
    <row r="84" ht="12.75">
      <c r="A84" s="115">
        <f>ROW()</f>
        <v>84</v>
      </c>
    </row>
    <row r="85" ht="12.75">
      <c r="A85" s="115">
        <f>ROW()</f>
        <v>85</v>
      </c>
    </row>
    <row r="86" ht="12.75">
      <c r="A86" s="115">
        <f>ROW()</f>
        <v>86</v>
      </c>
    </row>
    <row r="87" ht="12.75">
      <c r="A87" s="115">
        <f>ROW()</f>
        <v>87</v>
      </c>
    </row>
    <row r="88" ht="12.75">
      <c r="A88" s="115">
        <f>ROW()</f>
        <v>88</v>
      </c>
    </row>
    <row r="89" ht="12.75">
      <c r="A89" s="115">
        <f>ROW()</f>
        <v>89</v>
      </c>
    </row>
    <row r="90" ht="12.75">
      <c r="A90" s="115">
        <f>ROW()</f>
        <v>90</v>
      </c>
    </row>
    <row r="91" ht="12.75">
      <c r="A91" s="115">
        <f>ROW()</f>
        <v>91</v>
      </c>
    </row>
    <row r="92" ht="12.75">
      <c r="A92" s="115">
        <f>ROW()</f>
        <v>92</v>
      </c>
    </row>
    <row r="93" ht="12.75">
      <c r="A93" s="115">
        <f>ROW()</f>
        <v>93</v>
      </c>
    </row>
    <row r="94" ht="12.75">
      <c r="A94" s="115">
        <f>ROW()</f>
        <v>94</v>
      </c>
    </row>
    <row r="95" ht="12.75">
      <c r="A95" s="115">
        <f>ROW()</f>
        <v>95</v>
      </c>
    </row>
    <row r="96" ht="12.75">
      <c r="A96" s="115">
        <f>ROW()</f>
        <v>96</v>
      </c>
    </row>
    <row r="97" ht="12.75">
      <c r="A97" s="115">
        <f>ROW()</f>
        <v>97</v>
      </c>
    </row>
    <row r="98" ht="12.75">
      <c r="A98" s="115">
        <f>ROW()</f>
        <v>98</v>
      </c>
    </row>
    <row r="99" ht="12.75">
      <c r="A99" s="115">
        <f>ROW()</f>
        <v>99</v>
      </c>
    </row>
    <row r="100" ht="12.75">
      <c r="A100" s="115">
        <f>ROW()</f>
        <v>100</v>
      </c>
    </row>
    <row r="101" ht="12.75">
      <c r="A101" s="115">
        <f>ROW()</f>
        <v>101</v>
      </c>
    </row>
    <row r="102" ht="12.75">
      <c r="A102" s="115">
        <f>ROW()</f>
        <v>102</v>
      </c>
    </row>
    <row r="103" ht="12.75">
      <c r="A103" s="115">
        <f>ROW()</f>
        <v>103</v>
      </c>
    </row>
    <row r="104" ht="12.75">
      <c r="A104" s="115">
        <f>ROW()</f>
        <v>104</v>
      </c>
    </row>
    <row r="105" ht="12.75">
      <c r="A105" s="115">
        <f>ROW()</f>
        <v>105</v>
      </c>
    </row>
    <row r="106" ht="12.75">
      <c r="A106" s="115">
        <f>ROW()</f>
        <v>106</v>
      </c>
    </row>
    <row r="107" ht="12.75">
      <c r="A107" s="115">
        <f>ROW()</f>
        <v>107</v>
      </c>
    </row>
    <row r="108" ht="12.75">
      <c r="A108" s="115">
        <f>ROW()</f>
        <v>108</v>
      </c>
    </row>
    <row r="109" ht="12.75">
      <c r="A109" s="115">
        <f>ROW()</f>
        <v>109</v>
      </c>
    </row>
    <row r="110" ht="12.75">
      <c r="A110" s="115">
        <f>ROW()</f>
        <v>110</v>
      </c>
    </row>
    <row r="111" ht="12.75">
      <c r="A111" s="115">
        <f>ROW()</f>
        <v>111</v>
      </c>
    </row>
    <row r="112" ht="12.75">
      <c r="A112" s="115">
        <f>ROW()</f>
        <v>112</v>
      </c>
    </row>
    <row r="113" ht="12.75">
      <c r="A113" s="115">
        <f>ROW()</f>
        <v>113</v>
      </c>
    </row>
    <row r="114" ht="12.75">
      <c r="A114" s="115">
        <f>ROW()</f>
        <v>114</v>
      </c>
    </row>
    <row r="115" ht="12.75">
      <c r="A115" s="115">
        <f>ROW()</f>
        <v>115</v>
      </c>
    </row>
    <row r="116" ht="12.75">
      <c r="A116" s="115">
        <f>ROW()</f>
        <v>116</v>
      </c>
    </row>
    <row r="117" ht="12.75">
      <c r="A117" s="115">
        <f>ROW()</f>
        <v>117</v>
      </c>
    </row>
    <row r="118" ht="12.75">
      <c r="A118" s="115">
        <f>ROW()</f>
        <v>118</v>
      </c>
    </row>
    <row r="119" ht="12.75">
      <c r="A119" s="115">
        <f>ROW()</f>
        <v>119</v>
      </c>
    </row>
    <row r="120" ht="12.75">
      <c r="A120" s="115">
        <f>ROW()</f>
        <v>120</v>
      </c>
    </row>
    <row r="121" ht="12.75">
      <c r="A121" s="115">
        <f>ROW()</f>
        <v>121</v>
      </c>
    </row>
    <row r="122" ht="12.75">
      <c r="A122" s="115">
        <f>ROW()</f>
        <v>122</v>
      </c>
    </row>
    <row r="123" ht="12.75">
      <c r="A123" s="115">
        <f>ROW()</f>
        <v>123</v>
      </c>
    </row>
    <row r="124" ht="12.75">
      <c r="A124" s="115">
        <f>ROW()</f>
        <v>124</v>
      </c>
    </row>
    <row r="125" ht="12.75">
      <c r="A125" s="115">
        <f>ROW()</f>
        <v>125</v>
      </c>
    </row>
    <row r="126" ht="12.75">
      <c r="A126" s="115">
        <f>ROW()</f>
        <v>126</v>
      </c>
    </row>
    <row r="127" ht="12.75">
      <c r="A127" s="115">
        <f>ROW()</f>
        <v>127</v>
      </c>
    </row>
    <row r="128" ht="12.75">
      <c r="A128" s="115">
        <f>ROW()</f>
        <v>128</v>
      </c>
    </row>
    <row r="129" ht="12.75">
      <c r="A129" s="115">
        <f>ROW()</f>
        <v>129</v>
      </c>
    </row>
    <row r="130" ht="12.75">
      <c r="A130" s="115">
        <f>ROW()</f>
        <v>130</v>
      </c>
    </row>
    <row r="131" ht="12.75">
      <c r="A131" s="115">
        <f>ROW()</f>
        <v>131</v>
      </c>
    </row>
    <row r="132" ht="12.75">
      <c r="A132" s="115">
        <f>ROW()</f>
        <v>132</v>
      </c>
    </row>
    <row r="133" ht="12.75">
      <c r="A133" s="115">
        <f>ROW()</f>
        <v>133</v>
      </c>
    </row>
    <row r="134" ht="12.75">
      <c r="A134" s="115">
        <f>ROW()</f>
        <v>134</v>
      </c>
    </row>
    <row r="135" ht="12.75">
      <c r="A135" s="115">
        <f>ROW()</f>
        <v>135</v>
      </c>
    </row>
    <row r="136" ht="12.75">
      <c r="A136" s="115">
        <f>ROW()</f>
        <v>136</v>
      </c>
    </row>
    <row r="137" ht="12.75">
      <c r="A137" s="115">
        <f>ROW()</f>
        <v>137</v>
      </c>
    </row>
    <row r="138" ht="12.75">
      <c r="A138" s="115">
        <f>ROW()</f>
        <v>138</v>
      </c>
    </row>
    <row r="139" ht="12.75">
      <c r="A139" s="115">
        <f>ROW()</f>
        <v>139</v>
      </c>
    </row>
    <row r="140" ht="12.75">
      <c r="A140" s="115">
        <f>ROW()</f>
        <v>140</v>
      </c>
    </row>
    <row r="141" ht="12.75">
      <c r="A141" s="115">
        <f>ROW()</f>
        <v>141</v>
      </c>
    </row>
    <row r="142" ht="12.75">
      <c r="A142" s="115">
        <f>ROW()</f>
        <v>142</v>
      </c>
    </row>
    <row r="143" ht="12.75">
      <c r="A143" s="115">
        <f>ROW()</f>
        <v>143</v>
      </c>
    </row>
    <row r="144" ht="12.75">
      <c r="A144" s="115">
        <f>ROW()</f>
        <v>144</v>
      </c>
    </row>
    <row r="145" ht="12.75">
      <c r="A145" s="115">
        <f>ROW()</f>
        <v>145</v>
      </c>
    </row>
    <row r="146" ht="12.75">
      <c r="A146" s="115">
        <f>ROW()</f>
        <v>146</v>
      </c>
    </row>
    <row r="147" ht="12.75">
      <c r="A147" s="115">
        <f>ROW()</f>
        <v>147</v>
      </c>
    </row>
    <row r="148" ht="12.75">
      <c r="A148" s="115">
        <f>ROW()</f>
        <v>148</v>
      </c>
    </row>
    <row r="149" ht="12.75">
      <c r="A149" s="115">
        <f>ROW()</f>
        <v>149</v>
      </c>
    </row>
    <row r="150" ht="12.75">
      <c r="A150" s="115">
        <f>ROW()</f>
        <v>150</v>
      </c>
    </row>
    <row r="151" ht="12.75">
      <c r="A151" s="115">
        <f>ROW()</f>
        <v>151</v>
      </c>
    </row>
    <row r="152" ht="12.75">
      <c r="A152" s="115">
        <f>ROW()</f>
        <v>152</v>
      </c>
    </row>
    <row r="153" ht="12.75">
      <c r="A153" s="115">
        <f>ROW()</f>
        <v>153</v>
      </c>
    </row>
    <row r="154" ht="12.75">
      <c r="A154" s="115">
        <f>ROW()</f>
        <v>154</v>
      </c>
    </row>
    <row r="155" ht="12.75">
      <c r="A155" s="115">
        <f>ROW()</f>
        <v>155</v>
      </c>
    </row>
    <row r="156" ht="12.75">
      <c r="A156" s="115">
        <f>ROW()</f>
        <v>156</v>
      </c>
    </row>
    <row r="157" ht="12.75">
      <c r="A157" s="115">
        <f>ROW()</f>
        <v>157</v>
      </c>
    </row>
    <row r="158" ht="12.75">
      <c r="A158" s="115">
        <f>ROW()</f>
        <v>158</v>
      </c>
    </row>
    <row r="159" ht="12.75">
      <c r="A159" s="115">
        <f>ROW()</f>
        <v>159</v>
      </c>
    </row>
    <row r="160" ht="12.75">
      <c r="A160" s="115">
        <f>ROW()</f>
        <v>160</v>
      </c>
    </row>
    <row r="161" ht="12.75">
      <c r="A161" s="115">
        <f>ROW()</f>
        <v>161</v>
      </c>
    </row>
    <row r="162" ht="12.75">
      <c r="A162" s="115">
        <f>ROW()</f>
        <v>162</v>
      </c>
    </row>
    <row r="163" ht="12.75">
      <c r="A163" s="115">
        <f>ROW()</f>
        <v>163</v>
      </c>
    </row>
    <row r="164" ht="12.75">
      <c r="A164" s="115">
        <f>ROW()</f>
        <v>164</v>
      </c>
    </row>
    <row r="165" ht="12.75">
      <c r="A165" s="115">
        <f>ROW()</f>
        <v>165</v>
      </c>
    </row>
    <row r="166" ht="12.75">
      <c r="A166" s="115">
        <f>ROW()</f>
        <v>166</v>
      </c>
    </row>
    <row r="167" ht="12.75">
      <c r="A167" s="115">
        <f>ROW()</f>
        <v>167</v>
      </c>
    </row>
    <row r="168" ht="12.75">
      <c r="A168" s="115">
        <f>ROW()</f>
        <v>168</v>
      </c>
    </row>
    <row r="169" ht="12.75">
      <c r="A169" s="115">
        <f>ROW()</f>
        <v>169</v>
      </c>
    </row>
    <row r="170" ht="12.75">
      <c r="A170" s="115">
        <f>ROW()</f>
        <v>170</v>
      </c>
    </row>
    <row r="171" ht="12.75">
      <c r="A171" s="115">
        <f>ROW()</f>
        <v>171</v>
      </c>
    </row>
    <row r="172" ht="12.75">
      <c r="A172" s="115">
        <f>ROW()</f>
        <v>172</v>
      </c>
    </row>
    <row r="173" ht="12.75">
      <c r="A173" s="115">
        <f>ROW()</f>
        <v>173</v>
      </c>
    </row>
    <row r="174" ht="12.75">
      <c r="A174" s="115">
        <f>ROW()</f>
        <v>174</v>
      </c>
    </row>
    <row r="175" ht="12.75">
      <c r="A175" s="115">
        <f>ROW()</f>
        <v>175</v>
      </c>
    </row>
    <row r="176" ht="12.75">
      <c r="A176" s="115">
        <f>ROW()</f>
        <v>176</v>
      </c>
    </row>
    <row r="177" ht="12.75">
      <c r="A177" s="115">
        <f>ROW()</f>
        <v>177</v>
      </c>
    </row>
    <row r="178" ht="12.75">
      <c r="A178" s="115">
        <f>ROW()</f>
        <v>178</v>
      </c>
    </row>
    <row r="179" ht="12.75">
      <c r="A179" s="115">
        <f>ROW()</f>
        <v>179</v>
      </c>
    </row>
    <row r="180" ht="12.75">
      <c r="A180" s="115">
        <f>ROW()</f>
        <v>180</v>
      </c>
    </row>
    <row r="181" ht="12.75">
      <c r="A181" s="115">
        <f>ROW()</f>
        <v>181</v>
      </c>
    </row>
    <row r="182" ht="12.75">
      <c r="A182" s="115">
        <f>ROW()</f>
        <v>182</v>
      </c>
    </row>
    <row r="183" ht="12.75">
      <c r="A183" s="115">
        <f>ROW()</f>
        <v>183</v>
      </c>
    </row>
    <row r="184" ht="12.75">
      <c r="A184" s="115">
        <f>ROW()</f>
        <v>184</v>
      </c>
    </row>
    <row r="185" ht="12.75">
      <c r="A185" s="115">
        <f>ROW()</f>
        <v>185</v>
      </c>
    </row>
    <row r="186" ht="12.75">
      <c r="A186" s="115">
        <f>ROW()</f>
        <v>186</v>
      </c>
    </row>
    <row r="187" ht="12.75">
      <c r="A187" s="115">
        <f>ROW()</f>
        <v>187</v>
      </c>
    </row>
    <row r="188" ht="12.75">
      <c r="A188" s="115">
        <f>ROW()</f>
        <v>188</v>
      </c>
    </row>
    <row r="189" ht="12.75">
      <c r="A189" s="115">
        <f>ROW()</f>
        <v>189</v>
      </c>
    </row>
    <row r="190" ht="12.75">
      <c r="A190" s="115">
        <f>ROW()</f>
        <v>190</v>
      </c>
    </row>
    <row r="191" ht="12.75">
      <c r="A191" s="115">
        <f>ROW()</f>
        <v>191</v>
      </c>
    </row>
    <row r="192" ht="12.75">
      <c r="A192" s="115">
        <f>ROW()</f>
        <v>192</v>
      </c>
    </row>
    <row r="193" ht="12.75">
      <c r="A193" s="115">
        <f>ROW()</f>
        <v>193</v>
      </c>
    </row>
    <row r="194" ht="12.75">
      <c r="A194" s="115">
        <f>ROW()</f>
        <v>194</v>
      </c>
    </row>
    <row r="195" ht="12.75">
      <c r="A195" s="115">
        <f>ROW()</f>
        <v>195</v>
      </c>
    </row>
    <row r="196" ht="12.75">
      <c r="A196" s="115">
        <f>ROW()</f>
        <v>196</v>
      </c>
    </row>
    <row r="197" ht="12.75">
      <c r="A197" s="115">
        <f>ROW()</f>
        <v>197</v>
      </c>
    </row>
    <row r="198" ht="12.75">
      <c r="A198" s="115">
        <f>ROW()</f>
        <v>198</v>
      </c>
    </row>
    <row r="199" ht="12.75">
      <c r="A199" s="115">
        <f>ROW()</f>
        <v>199</v>
      </c>
    </row>
    <row r="200" ht="12.75">
      <c r="A200" s="115">
        <f>ROW()</f>
        <v>200</v>
      </c>
    </row>
    <row r="201" ht="12.75">
      <c r="A201" s="115">
        <f>ROW()</f>
        <v>201</v>
      </c>
    </row>
    <row r="202" ht="12.75">
      <c r="A202" s="115">
        <f>ROW()</f>
        <v>202</v>
      </c>
    </row>
    <row r="203" ht="12.75">
      <c r="A203" s="115">
        <f>ROW()</f>
        <v>203</v>
      </c>
    </row>
    <row r="204" ht="12.75">
      <c r="A204" s="115">
        <f>ROW()</f>
        <v>204</v>
      </c>
    </row>
    <row r="205" ht="12.75">
      <c r="A205" s="115">
        <f>ROW()</f>
        <v>205</v>
      </c>
    </row>
    <row r="206" ht="12.75">
      <c r="A206" s="115">
        <f>ROW()</f>
        <v>206</v>
      </c>
    </row>
    <row r="207" ht="12.75">
      <c r="A207" s="115">
        <f>ROW()</f>
        <v>207</v>
      </c>
    </row>
    <row r="208" ht="12.75">
      <c r="A208" s="115">
        <f>ROW()</f>
        <v>208</v>
      </c>
    </row>
    <row r="209" ht="12.75">
      <c r="A209" s="115">
        <f>ROW()</f>
        <v>209</v>
      </c>
    </row>
    <row r="210" ht="12.75">
      <c r="A210" s="115">
        <f>ROW()</f>
        <v>210</v>
      </c>
    </row>
    <row r="211" ht="12.75">
      <c r="A211" s="115">
        <f>ROW()</f>
        <v>211</v>
      </c>
    </row>
    <row r="212" ht="12.75">
      <c r="A212" s="115">
        <f>ROW()</f>
        <v>212</v>
      </c>
    </row>
    <row r="213" ht="12.75">
      <c r="A213" s="115">
        <f>ROW()</f>
        <v>213</v>
      </c>
    </row>
    <row r="214" ht="12.75">
      <c r="A214" s="115">
        <f>ROW()</f>
        <v>214</v>
      </c>
    </row>
    <row r="215" ht="12.75">
      <c r="A215" s="115">
        <f>ROW()</f>
        <v>215</v>
      </c>
    </row>
    <row r="216" ht="12.75">
      <c r="A216" s="115">
        <f>ROW()</f>
        <v>216</v>
      </c>
    </row>
    <row r="217" ht="12.75">
      <c r="A217" s="115">
        <f>ROW()</f>
        <v>217</v>
      </c>
    </row>
    <row r="218" ht="12.75">
      <c r="A218" s="115">
        <f>ROW()</f>
        <v>218</v>
      </c>
    </row>
    <row r="219" ht="12.75">
      <c r="A219" s="115">
        <f>ROW()</f>
        <v>219</v>
      </c>
    </row>
    <row r="220" ht="12.75">
      <c r="A220" s="115">
        <f>ROW()</f>
        <v>220</v>
      </c>
    </row>
    <row r="221" ht="12.75">
      <c r="A221" s="115">
        <f>ROW()</f>
        <v>221</v>
      </c>
    </row>
    <row r="222" ht="12.75">
      <c r="A222" s="115">
        <f>ROW()</f>
        <v>222</v>
      </c>
    </row>
    <row r="223" ht="12.75">
      <c r="A223" s="115">
        <f>ROW()</f>
        <v>223</v>
      </c>
    </row>
    <row r="224" ht="12.75">
      <c r="A224" s="115">
        <f>ROW()</f>
        <v>224</v>
      </c>
    </row>
    <row r="225" ht="12.75">
      <c r="A225" s="115">
        <f>ROW()</f>
        <v>225</v>
      </c>
    </row>
    <row r="226" ht="12.75">
      <c r="A226" s="115">
        <f>ROW()</f>
        <v>226</v>
      </c>
    </row>
    <row r="227" ht="12.75">
      <c r="A227" s="115">
        <f>ROW()</f>
        <v>227</v>
      </c>
    </row>
    <row r="228" ht="12.75">
      <c r="A228" s="115">
        <f>ROW()</f>
        <v>228</v>
      </c>
    </row>
    <row r="229" ht="12.75">
      <c r="A229" s="115">
        <f>ROW()</f>
        <v>229</v>
      </c>
    </row>
    <row r="230" ht="12.75">
      <c r="A230" s="115">
        <f>ROW()</f>
        <v>230</v>
      </c>
    </row>
    <row r="231" ht="12.75">
      <c r="A231" s="115">
        <f>ROW()</f>
        <v>231</v>
      </c>
    </row>
    <row r="232" ht="12.75">
      <c r="A232" s="115">
        <f>ROW()</f>
        <v>232</v>
      </c>
    </row>
    <row r="233" ht="12.75">
      <c r="A233" s="115">
        <f>ROW()</f>
        <v>233</v>
      </c>
    </row>
    <row r="234" ht="12.75">
      <c r="A234" s="115">
        <f>ROW()</f>
        <v>234</v>
      </c>
    </row>
    <row r="235" ht="12.75">
      <c r="A235" s="115">
        <f>ROW()</f>
        <v>235</v>
      </c>
    </row>
    <row r="236" ht="12.75">
      <c r="A236" s="115">
        <f>ROW()</f>
        <v>236</v>
      </c>
    </row>
    <row r="237" ht="12.75">
      <c r="A237" s="115">
        <f>ROW()</f>
        <v>237</v>
      </c>
    </row>
    <row r="238" ht="12.75">
      <c r="A238" s="115">
        <f>ROW()</f>
        <v>238</v>
      </c>
    </row>
    <row r="239" ht="12.75">
      <c r="A239" s="115">
        <f>ROW()</f>
        <v>239</v>
      </c>
    </row>
    <row r="240" ht="12.75">
      <c r="A240" s="115">
        <f>ROW()</f>
        <v>240</v>
      </c>
    </row>
    <row r="241" ht="12.75">
      <c r="A241" s="115">
        <f>ROW()</f>
        <v>241</v>
      </c>
    </row>
    <row r="242" ht="12.75">
      <c r="A242" s="115">
        <f>ROW()</f>
        <v>242</v>
      </c>
    </row>
    <row r="243" ht="12.75">
      <c r="A243" s="115">
        <f>ROW()</f>
        <v>243</v>
      </c>
    </row>
    <row r="244" ht="12.75">
      <c r="A244" s="115">
        <f>ROW()</f>
        <v>244</v>
      </c>
    </row>
    <row r="245" ht="12.75">
      <c r="A245" s="115">
        <f>ROW()</f>
        <v>245</v>
      </c>
    </row>
    <row r="246" ht="12.75">
      <c r="A246" s="115">
        <f>ROW()</f>
        <v>246</v>
      </c>
    </row>
    <row r="247" ht="12.75">
      <c r="A247" s="115">
        <f>ROW()</f>
        <v>247</v>
      </c>
    </row>
    <row r="248" ht="12.75">
      <c r="A248" s="115">
        <f>ROW()</f>
        <v>248</v>
      </c>
    </row>
    <row r="249" ht="12.75">
      <c r="A249" s="115">
        <f>ROW()</f>
        <v>249</v>
      </c>
    </row>
    <row r="250" ht="12.75">
      <c r="A250" s="115">
        <f>ROW()</f>
        <v>250</v>
      </c>
    </row>
    <row r="251" ht="12.75">
      <c r="A251" s="115">
        <f>ROW()</f>
        <v>251</v>
      </c>
    </row>
    <row r="252" ht="12.75">
      <c r="A252" s="115">
        <f>ROW()</f>
        <v>252</v>
      </c>
    </row>
    <row r="253" ht="12.75">
      <c r="A253" s="115">
        <f>ROW()</f>
        <v>253</v>
      </c>
    </row>
    <row r="254" ht="12.75">
      <c r="A254" s="115">
        <f>ROW()</f>
        <v>254</v>
      </c>
    </row>
    <row r="255" ht="12.75">
      <c r="A255" s="115">
        <f>ROW()</f>
        <v>255</v>
      </c>
    </row>
    <row r="256" ht="12.75">
      <c r="A256" s="115">
        <f>ROW()</f>
        <v>256</v>
      </c>
    </row>
    <row r="257" ht="12.75">
      <c r="A257" s="115">
        <f>ROW()</f>
        <v>257</v>
      </c>
    </row>
    <row r="258" ht="12.75">
      <c r="A258" s="115">
        <f>ROW()</f>
        <v>258</v>
      </c>
    </row>
    <row r="259" ht="12.75">
      <c r="A259" s="115">
        <f>ROW()</f>
        <v>259</v>
      </c>
    </row>
    <row r="260" ht="12.75">
      <c r="A260" s="115">
        <f>ROW()</f>
        <v>260</v>
      </c>
    </row>
    <row r="261" ht="12.75">
      <c r="A261" s="115">
        <f>ROW()</f>
        <v>261</v>
      </c>
    </row>
    <row r="262" ht="12.75">
      <c r="A262" s="115">
        <f>ROW()</f>
        <v>262</v>
      </c>
    </row>
    <row r="263" ht="12.75">
      <c r="A263" s="115">
        <f>ROW()</f>
        <v>263</v>
      </c>
    </row>
    <row r="264" ht="12.75">
      <c r="A264" s="115">
        <f>ROW()</f>
        <v>264</v>
      </c>
    </row>
    <row r="265" ht="12.75">
      <c r="A265" s="115">
        <f>ROW()</f>
        <v>265</v>
      </c>
    </row>
    <row r="266" ht="12.75">
      <c r="A266" s="115">
        <f>ROW()</f>
        <v>266</v>
      </c>
    </row>
    <row r="267" ht="12.75">
      <c r="A267" s="115">
        <f>ROW()</f>
        <v>267</v>
      </c>
    </row>
    <row r="268" ht="12.75">
      <c r="A268" s="115">
        <f>ROW()</f>
        <v>268</v>
      </c>
    </row>
    <row r="269" ht="12.75">
      <c r="A269" s="115">
        <f>ROW()</f>
        <v>269</v>
      </c>
    </row>
    <row r="270" ht="12.75">
      <c r="A270" s="115">
        <f>ROW()</f>
        <v>270</v>
      </c>
    </row>
    <row r="271" ht="12.75">
      <c r="A271" s="115">
        <f>ROW()</f>
        <v>271</v>
      </c>
    </row>
    <row r="272" ht="12.75">
      <c r="A272" s="115">
        <f>ROW()</f>
        <v>272</v>
      </c>
    </row>
    <row r="273" ht="12.75">
      <c r="A273" s="115">
        <f>ROW()</f>
        <v>273</v>
      </c>
    </row>
    <row r="274" ht="12.75">
      <c r="A274" s="115">
        <f>ROW()</f>
        <v>274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&amp;L&amp;A&amp;C&amp;F&amp;R&amp;P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L34"/>
  <sheetViews>
    <sheetView showGridLines="0" zoomScalePageLayoutView="0" workbookViewId="0" topLeftCell="A1">
      <selection activeCell="H12" sqref="H12"/>
    </sheetView>
  </sheetViews>
  <sheetFormatPr defaultColWidth="9.140625" defaultRowHeight="12.75"/>
  <cols>
    <col min="1" max="1" width="3.28125" style="114" customWidth="1"/>
    <col min="2" max="2" width="28.8515625" style="0" customWidth="1"/>
    <col min="3" max="7" width="9.8515625" style="0" customWidth="1"/>
  </cols>
  <sheetData>
    <row r="1" spans="1:2" s="113" customFormat="1" ht="15">
      <c r="A1" s="111"/>
      <c r="B1" s="112" t="s">
        <v>150</v>
      </c>
    </row>
    <row r="2" ht="12.75">
      <c r="A2" s="115">
        <f>ROW()</f>
        <v>2</v>
      </c>
    </row>
    <row r="3" spans="1:7" ht="12.75">
      <c r="A3" s="115">
        <f>ROW()</f>
        <v>3</v>
      </c>
      <c r="B3" s="128" t="s">
        <v>151</v>
      </c>
      <c r="C3" s="128">
        <v>2005</v>
      </c>
      <c r="D3" s="128">
        <v>2006</v>
      </c>
      <c r="E3" s="128">
        <v>2007</v>
      </c>
      <c r="F3" s="128">
        <v>2008</v>
      </c>
      <c r="G3" s="128">
        <v>2009</v>
      </c>
    </row>
    <row r="4" spans="1:7" ht="12.75">
      <c r="A4" s="115">
        <f>ROW()</f>
        <v>4</v>
      </c>
      <c r="B4" t="s">
        <v>152</v>
      </c>
      <c r="C4" s="7">
        <v>40.13130930708894</v>
      </c>
      <c r="D4" s="7">
        <v>37.89473734355773</v>
      </c>
      <c r="E4" s="7">
        <v>49.71452408062152</v>
      </c>
      <c r="F4" s="7">
        <v>47.3129239847672</v>
      </c>
      <c r="G4" s="7">
        <v>44.907788434879144</v>
      </c>
    </row>
    <row r="5" spans="1:10" ht="12.75">
      <c r="A5" s="115">
        <f>ROW()</f>
        <v>5</v>
      </c>
      <c r="B5" t="s">
        <v>153</v>
      </c>
      <c r="C5" s="14">
        <f>C4*(C10/CAPEX!$K$4)</f>
        <v>41.7276000471476</v>
      </c>
      <c r="D5" s="14">
        <f>D4*(D10/CAPEX!$K$4)</f>
        <v>41.120946663804794</v>
      </c>
      <c r="E5" s="14">
        <f>E4*(E10/CAPEX!$K$4)</f>
        <v>55.57757681587974</v>
      </c>
      <c r="F5" s="14">
        <f>F4*(F10/CAPEX!$K$4)</f>
        <v>54.87374714772022</v>
      </c>
      <c r="G5" s="14">
        <f>G4*(G10/CAPEX!$K$4)</f>
        <v>53.18110047033489</v>
      </c>
      <c r="H5" s="10"/>
      <c r="I5" s="10"/>
      <c r="J5" s="10"/>
    </row>
    <row r="6" spans="1:10" ht="12.75">
      <c r="A6" s="115">
        <f>ROW()</f>
        <v>6</v>
      </c>
      <c r="C6" s="14"/>
      <c r="D6" s="14"/>
      <c r="E6" s="14"/>
      <c r="F6" s="14"/>
      <c r="G6" s="14"/>
      <c r="H6" s="10"/>
      <c r="I6" s="10"/>
      <c r="J6" s="10"/>
    </row>
    <row r="7" spans="1:12" ht="12.75">
      <c r="A7" s="115">
        <f>ROW()</f>
        <v>7</v>
      </c>
      <c r="B7" t="s">
        <v>154</v>
      </c>
      <c r="C7" s="7">
        <v>37.331</v>
      </c>
      <c r="D7" s="7">
        <v>39.5287567</v>
      </c>
      <c r="E7" s="7">
        <v>42.68882763</v>
      </c>
      <c r="F7" s="7">
        <v>55.881302829999996</v>
      </c>
      <c r="G7" s="7">
        <v>77.77945854999999</v>
      </c>
      <c r="H7" s="14"/>
      <c r="I7" s="14"/>
      <c r="J7" s="14"/>
      <c r="K7" s="4"/>
      <c r="L7" s="4"/>
    </row>
    <row r="8" spans="1:10" ht="12.75">
      <c r="A8" s="115">
        <f>ROW()</f>
        <v>8</v>
      </c>
      <c r="H8" s="10"/>
      <c r="I8" s="10"/>
      <c r="J8" s="10"/>
    </row>
    <row r="9" spans="1:10" ht="12.75">
      <c r="A9" s="115">
        <f>ROW()</f>
        <v>9</v>
      </c>
      <c r="B9" t="s">
        <v>155</v>
      </c>
      <c r="D9" s="6">
        <v>1.0044</v>
      </c>
      <c r="E9" s="6">
        <v>1.0039</v>
      </c>
      <c r="F9" s="6">
        <v>1.0041</v>
      </c>
      <c r="G9" s="6">
        <v>1.0042</v>
      </c>
      <c r="H9" s="10"/>
      <c r="I9" s="10"/>
      <c r="J9" s="10"/>
    </row>
    <row r="10" spans="1:10" ht="12.75">
      <c r="A10" s="115">
        <f>ROW()</f>
        <v>10</v>
      </c>
      <c r="B10" t="s">
        <v>9</v>
      </c>
      <c r="C10" s="12">
        <f>CAPEX!L4</f>
        <v>149</v>
      </c>
      <c r="D10" s="12">
        <f>CAPEX!M4</f>
        <v>155.5</v>
      </c>
      <c r="E10" s="12">
        <f>CAPEX!N4</f>
        <v>160.2</v>
      </c>
      <c r="F10" s="12">
        <f>CAPEX!O4</f>
        <v>166.2</v>
      </c>
      <c r="G10" s="12">
        <f>CAPEX!P4</f>
        <v>169.7</v>
      </c>
      <c r="H10" s="10"/>
      <c r="I10" s="10"/>
      <c r="J10" s="10"/>
    </row>
    <row r="11" spans="1:10" ht="12.75">
      <c r="A11" s="115">
        <f>ROW()</f>
        <v>11</v>
      </c>
      <c r="B11" t="s">
        <v>156</v>
      </c>
      <c r="C11" s="12">
        <f>MAX(0,C5-C7)</f>
        <v>4.396600047147594</v>
      </c>
      <c r="D11" s="12">
        <f>MAX(0,D5-D7)</f>
        <v>1.5921899638047918</v>
      </c>
      <c r="E11" s="12">
        <f>MAX(0,E5-E7)</f>
        <v>12.888749185879739</v>
      </c>
      <c r="F11" s="12">
        <f>MAX(0,F5-F7)</f>
        <v>0</v>
      </c>
      <c r="G11" s="12">
        <f>MAX(0,G5-G7)</f>
        <v>0</v>
      </c>
      <c r="H11" s="10"/>
      <c r="I11" s="10"/>
      <c r="J11" s="10"/>
    </row>
    <row r="12" spans="1:10" ht="12.75">
      <c r="A12" s="115">
        <f>ROW()</f>
        <v>12</v>
      </c>
      <c r="B12" t="s">
        <v>157</v>
      </c>
      <c r="C12" s="116"/>
      <c r="D12" s="12">
        <f>MAX(0,(D11-C11*(D10/C10)*D9))</f>
        <v>0</v>
      </c>
      <c r="E12" s="12">
        <f>MAX(0,(E11-D11*(E10/D10)*E9))</f>
        <v>11.242037927698945</v>
      </c>
      <c r="F12" s="12">
        <f>MAX(0,(F11-E11*(F10/E10)*F9))</f>
        <v>0</v>
      </c>
      <c r="G12" s="12">
        <f>MAX(0,(G11-F11*(G10/F10)*G9))</f>
        <v>0</v>
      </c>
      <c r="H12" s="10"/>
      <c r="I12" s="10"/>
      <c r="J12" s="10"/>
    </row>
    <row r="13" spans="1:10" ht="12.75">
      <c r="A13" s="115">
        <f>ROW()</f>
        <v>13</v>
      </c>
      <c r="H13" s="10"/>
      <c r="I13" s="10"/>
      <c r="J13" s="10"/>
    </row>
    <row r="14" spans="1:10" ht="12.75">
      <c r="A14" s="115">
        <f>ROW()</f>
        <v>14</v>
      </c>
      <c r="H14" s="10"/>
      <c r="I14" s="10"/>
      <c r="J14" s="10"/>
    </row>
    <row r="15" spans="1:10" ht="12.75">
      <c r="A15" s="115">
        <f>ROW()</f>
        <v>15</v>
      </c>
      <c r="B15" t="s">
        <v>9</v>
      </c>
      <c r="C15" s="12">
        <f>CAPEX!R4</f>
        <v>178.57437000000002</v>
      </c>
      <c r="D15" s="12">
        <f>CAPEX!S4</f>
        <v>183.163731309</v>
      </c>
      <c r="E15" s="12">
        <f>CAPEX!T4</f>
        <v>187.87103920364132</v>
      </c>
      <c r="F15" s="12">
        <f>CAPEX!U4</f>
        <v>192.6993249111749</v>
      </c>
      <c r="G15" s="12">
        <f>CAPEX!V4</f>
        <v>197.6516975613921</v>
      </c>
      <c r="H15" s="10"/>
      <c r="I15" s="10"/>
      <c r="J15" s="10"/>
    </row>
    <row r="16" spans="1:10" ht="12.75">
      <c r="A16" s="115">
        <f>ROW()</f>
        <v>16</v>
      </c>
      <c r="B16" s="128" t="s">
        <v>151</v>
      </c>
      <c r="C16" s="128">
        <v>2011</v>
      </c>
      <c r="D16" s="128">
        <v>2012</v>
      </c>
      <c r="E16" s="128">
        <v>2013</v>
      </c>
      <c r="F16" s="128">
        <v>2014</v>
      </c>
      <c r="G16" s="128">
        <v>2015</v>
      </c>
      <c r="H16" s="10"/>
      <c r="I16" s="10"/>
      <c r="J16" s="10"/>
    </row>
    <row r="17" spans="1:10" ht="12.75">
      <c r="A17" s="115">
        <f>ROW()</f>
        <v>17</v>
      </c>
      <c r="B17" t="s">
        <v>158</v>
      </c>
      <c r="C17" s="12">
        <f>D12*C15/D10+E12*D15/E10+F12*E15/F10+G12*F15/G10</f>
        <v>12.85351819197651</v>
      </c>
      <c r="D17" s="12">
        <f>E12*D15/E10+F12*E15/F10+G12*F15/G10</f>
        <v>12.85351819197651</v>
      </c>
      <c r="E17" s="12">
        <f>F12*E15/F10+G12*F15/G10</f>
        <v>0</v>
      </c>
      <c r="F17" s="12">
        <f>G12*F15/G10</f>
        <v>0</v>
      </c>
      <c r="G17" s="12">
        <v>0</v>
      </c>
      <c r="H17" s="10"/>
      <c r="I17" s="10"/>
      <c r="J17" s="10"/>
    </row>
    <row r="18" spans="1:7" s="10" customFormat="1" ht="12.75">
      <c r="A18" s="115">
        <f>ROW()</f>
        <v>18</v>
      </c>
      <c r="C18" s="14"/>
      <c r="D18" s="14"/>
      <c r="E18" s="14"/>
      <c r="F18" s="14"/>
      <c r="G18" s="14"/>
    </row>
    <row r="19" spans="1:7" s="10" customFormat="1" ht="12.75">
      <c r="A19" s="115">
        <f>ROW()</f>
        <v>19</v>
      </c>
      <c r="B19" s="13" t="str">
        <f>OPEX!C13</f>
        <v>Factor</v>
      </c>
      <c r="C19" s="13">
        <f>OPEX!D13</f>
        <v>0.9749439407234083</v>
      </c>
      <c r="D19" s="13">
        <f>OPEX!E13</f>
        <v>0.9505156875532887</v>
      </c>
      <c r="E19" s="13">
        <f>OPEX!F13</f>
        <v>0.9266995101426233</v>
      </c>
      <c r="F19" s="13">
        <f>OPEX!G13</f>
        <v>0.9034800722849013</v>
      </c>
      <c r="G19" s="13">
        <f>OPEX!H13</f>
        <v>0.8808424220385116</v>
      </c>
    </row>
    <row r="20" spans="1:10" ht="12.75">
      <c r="A20" s="115">
        <f>ROW()</f>
        <v>20</v>
      </c>
      <c r="B20" t="str">
        <f>"S in "&amp;CompareYear&amp;" $'s"</f>
        <v>S in 2010 $'s</v>
      </c>
      <c r="C20" s="12">
        <f>C19*C17</f>
        <v>12.531459678245596</v>
      </c>
      <c r="D20" s="12">
        <f>D19*D17</f>
        <v>12.217470681725258</v>
      </c>
      <c r="E20" s="12">
        <f>E19*E17</f>
        <v>0</v>
      </c>
      <c r="F20" s="12">
        <f>F19*F17</f>
        <v>0</v>
      </c>
      <c r="G20" s="12">
        <f>G19*G17</f>
        <v>0</v>
      </c>
      <c r="H20" s="10"/>
      <c r="I20" s="10"/>
      <c r="J20" s="10"/>
    </row>
    <row r="21" ht="12.75">
      <c r="A21" s="115">
        <f>ROW()</f>
        <v>21</v>
      </c>
    </row>
    <row r="22" ht="12.75">
      <c r="A22" s="115">
        <f>ROW()</f>
        <v>22</v>
      </c>
    </row>
    <row r="23" ht="12.75">
      <c r="A23" s="115">
        <f>ROW()</f>
        <v>23</v>
      </c>
    </row>
    <row r="24" ht="12.75">
      <c r="A24" s="115">
        <f>ROW()</f>
        <v>24</v>
      </c>
    </row>
    <row r="25" ht="12.75">
      <c r="A25" s="115">
        <f>ROW()</f>
        <v>25</v>
      </c>
    </row>
    <row r="26" ht="12.75">
      <c r="A26" s="115">
        <f>ROW()</f>
        <v>26</v>
      </c>
    </row>
    <row r="27" ht="12.75">
      <c r="A27" s="115">
        <f>ROW()</f>
        <v>27</v>
      </c>
    </row>
    <row r="28" ht="12.75">
      <c r="A28" s="115">
        <f>ROW()</f>
        <v>28</v>
      </c>
    </row>
    <row r="29" ht="12.75">
      <c r="A29" s="115">
        <f>ROW()</f>
        <v>29</v>
      </c>
    </row>
    <row r="30" ht="12.75">
      <c r="A30" s="115">
        <f>ROW()</f>
        <v>30</v>
      </c>
    </row>
    <row r="31" ht="12.75">
      <c r="A31" s="115">
        <f>ROW()</f>
        <v>31</v>
      </c>
    </row>
    <row r="32" ht="12.75">
      <c r="A32" s="115">
        <f>ROW()</f>
        <v>32</v>
      </c>
    </row>
    <row r="33" ht="12.75">
      <c r="A33" s="115">
        <f>ROW()</f>
        <v>33</v>
      </c>
    </row>
    <row r="34" ht="12.75">
      <c r="A34" s="115">
        <f>ROW()</f>
        <v>34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&amp;L&amp;A&amp;C&amp;F&amp;R&amp;P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DBP Transmission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jemmerson</cp:lastModifiedBy>
  <cp:lastPrinted>2011-04-15T04:25:26Z</cp:lastPrinted>
  <dcterms:created xsi:type="dcterms:W3CDTF">2009-10-02T05:58:12Z</dcterms:created>
  <dcterms:modified xsi:type="dcterms:W3CDTF">2011-05-02T06:07:39Z</dcterms:modified>
  <cp:category/>
  <cp:version/>
  <cp:contentType/>
  <cp:contentStatus/>
</cp:coreProperties>
</file>