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6735" activeTab="1"/>
  </bookViews>
  <sheets>
    <sheet name="Tariff Input" sheetId="1" r:id="rId1"/>
    <sheet name="Data Input" sheetId="2" r:id="rId2"/>
    <sheet name="Capital base" sheetId="3" r:id="rId3"/>
    <sheet name="Ref_Tariff_Capacity" sheetId="4" r:id="rId4"/>
    <sheet name="Output" sheetId="5" r:id="rId5"/>
  </sheets>
  <externalReferences>
    <externalReference r:id="rId8"/>
  </externalReferences>
  <definedNames>
    <definedName name="A10remlife">'[1]Input'!$H$16</definedName>
    <definedName name="A10stdlife">'[1]Input'!$I$16</definedName>
    <definedName name="A10value">'[1]Input'!$F$16</definedName>
    <definedName name="A11remlife">'[1]Input'!$H$17</definedName>
    <definedName name="A11stdlife">'[1]Input'!$I$17</definedName>
    <definedName name="A11value">'[1]Input'!$F$17</definedName>
    <definedName name="A12remlife">'[1]Input'!$H$18</definedName>
    <definedName name="A12stdlife">'[1]Input'!$I$18</definedName>
    <definedName name="A12value">'[1]Input'!$F$18</definedName>
    <definedName name="A13remlife">'[1]Input'!$H$19</definedName>
    <definedName name="A13stdlife">'[1]Input'!$I$19</definedName>
    <definedName name="A13value">'[1]Input'!$F$19</definedName>
    <definedName name="A14remlife">'[1]Input'!$H$20</definedName>
    <definedName name="A14stdlife">'[1]Input'!$I$20</definedName>
    <definedName name="A14value">'[1]Input'!$F$20</definedName>
    <definedName name="A15remlife">'[1]Input'!$H$21</definedName>
    <definedName name="A15stdlife">'[1]Input'!$I$21</definedName>
    <definedName name="A15value">'[1]Input'!$F$21</definedName>
    <definedName name="A16remlife">'[1]Input'!$H$22</definedName>
    <definedName name="A16stdlife">'[1]Input'!$I$22</definedName>
    <definedName name="A16value">'[1]Input'!$F$22</definedName>
    <definedName name="A17remlife">'[1]Input'!$H$23</definedName>
    <definedName name="A17stdlife">'[1]Input'!$I$23</definedName>
    <definedName name="A17value">'[1]Input'!$F$23</definedName>
    <definedName name="A18remlife">'[1]Input'!$H$24</definedName>
    <definedName name="A18stdlife">'[1]Input'!$I$24</definedName>
    <definedName name="A18value">'[1]Input'!$F$24</definedName>
    <definedName name="A19remlife">'[1]Input'!$H$25</definedName>
    <definedName name="A19stdlife">'[1]Input'!$I$25</definedName>
    <definedName name="A19value">'[1]Input'!$F$25</definedName>
    <definedName name="A1remlife">'[1]Input'!$H$7</definedName>
    <definedName name="A1stdlife">'[1]Input'!$I$7</definedName>
    <definedName name="A1value">'[1]Input'!$F$7</definedName>
    <definedName name="A20remlife">'[1]Input'!$H$26</definedName>
    <definedName name="A20stdlife">'[1]Input'!$I$26</definedName>
    <definedName name="A20value">'[1]Input'!$F$26</definedName>
    <definedName name="A2remlife">'[1]Input'!$H$8</definedName>
    <definedName name="A2stdlife">'[1]Input'!$I$8</definedName>
    <definedName name="A2value">'[1]Input'!$F$8</definedName>
    <definedName name="A3remlife">'[1]Input'!$H$9</definedName>
    <definedName name="A3stdlife">'[1]Input'!$I$9</definedName>
    <definedName name="A3value">'[1]Input'!$F$9</definedName>
    <definedName name="A4remlife">'[1]Input'!$H$10</definedName>
    <definedName name="A4stdlife">'[1]Input'!$I$10</definedName>
    <definedName name="A4value">'[1]Input'!$F$10</definedName>
    <definedName name="A5remlife">'[1]Input'!$H$11</definedName>
    <definedName name="A5stdlife">'[1]Input'!$I$11</definedName>
    <definedName name="A5value">'[1]Input'!$F$11</definedName>
    <definedName name="A6remlife">'[1]Input'!$H$12</definedName>
    <definedName name="A6stdlife">'[1]Input'!$I$12</definedName>
    <definedName name="A6value">'[1]Input'!$F$12</definedName>
    <definedName name="A7remlife">'[1]Input'!$H$13</definedName>
    <definedName name="A7stdlife">'[1]Input'!$I$13</definedName>
    <definedName name="A7value">'[1]Input'!$F$13</definedName>
    <definedName name="A8remlife">'[1]Input'!$H$14</definedName>
    <definedName name="A8stdlife">'[1]Input'!$I$14</definedName>
    <definedName name="A8value">'[1]Input'!$F$14</definedName>
    <definedName name="A9remlife">'[1]Input'!$H$15</definedName>
    <definedName name="A9stdlife">'[1]Input'!$I$15</definedName>
    <definedName name="A9value">'[1]Input'!$F$15</definedName>
    <definedName name="Asset1">'[1]Input'!$C$7</definedName>
    <definedName name="Asset10">'[1]Input'!$C$16</definedName>
    <definedName name="Asset11">'[1]Input'!$C$17</definedName>
    <definedName name="Asset12">'[1]Input'!$C$18</definedName>
    <definedName name="Asset13">'[1]Input'!$C$19</definedName>
    <definedName name="Asset14">'[1]Input'!$C$20</definedName>
    <definedName name="Asset15">'[1]Input'!$C$21</definedName>
    <definedName name="Asset16">'[1]Input'!$C$22</definedName>
    <definedName name="Asset17">'[1]Input'!$C$23</definedName>
    <definedName name="Asset18">'[1]Input'!$C$24</definedName>
    <definedName name="Asset19">'[1]Input'!$C$25</definedName>
    <definedName name="Asset2">'[1]Input'!$C$8</definedName>
    <definedName name="Asset20">'[1]Input'!$C$26</definedName>
    <definedName name="Asset3">'[1]Input'!$C$9</definedName>
    <definedName name="Asset4">'[1]Input'!$C$10</definedName>
    <definedName name="Asset5">'[1]Input'!$C$11</definedName>
    <definedName name="Asset6">'[1]Input'!$C$12</definedName>
    <definedName name="Asset7">'[1]Input'!$C$13</definedName>
    <definedName name="Asset8">'[1]Input'!$C$14</definedName>
    <definedName name="Asset9">'[1]Input'!$C$15</definedName>
    <definedName name="Manual">#REF!</definedName>
    <definedName name="_xlnm.Print_Area" localSheetId="2">'Capital base'!$E$2:$J$15</definedName>
    <definedName name="_xlnm.Print_Area" localSheetId="1">'Data Input'!#REF!</definedName>
    <definedName name="_xlnm.Print_Area" localSheetId="3">'Ref_Tariff_Capacity'!#REF!</definedName>
    <definedName name="_xlnm.Print_Titles" localSheetId="2">'Capital base'!$B:$B,'Capital base'!$2:$2</definedName>
    <definedName name="_xlnm.Print_Titles" localSheetId="1">'Data Input'!$B:$B,'Data Input'!$2:$2</definedName>
    <definedName name="_xlnm.Print_Titles" localSheetId="3">'Ref_Tariff_Capacity'!$B:$B,'Ref_Tariff_Capacity'!$2:$3</definedName>
    <definedName name="RAB">'[1]Input'!$F$27</definedName>
    <definedName name="rvanilla">'[1]WACC'!$F$30</definedName>
    <definedName name="Tariff1">#REF!</definedName>
    <definedName name="Tariff2009">#REF!</definedName>
  </definedNames>
  <calcPr fullCalcOnLoad="1"/>
</workbook>
</file>

<file path=xl/sharedStrings.xml><?xml version="1.0" encoding="utf-8"?>
<sst xmlns="http://schemas.openxmlformats.org/spreadsheetml/2006/main" count="1226" uniqueCount="159">
  <si>
    <t>Forecast Inflation</t>
  </si>
  <si>
    <t>Regulators</t>
  </si>
  <si>
    <t>Information technology</t>
  </si>
  <si>
    <t>Land</t>
  </si>
  <si>
    <t>Forecast</t>
  </si>
  <si>
    <t>CAPEX</t>
  </si>
  <si>
    <t>TJ</t>
  </si>
  <si>
    <t>$/GJ</t>
  </si>
  <si>
    <t>Buildings</t>
  </si>
  <si>
    <t>Days</t>
  </si>
  <si>
    <t>Secondary gate stations</t>
  </si>
  <si>
    <t>Access Arrangement Revisions 2009</t>
  </si>
  <si>
    <t>Mid West and South West Gas Distribution Systems</t>
  </si>
  <si>
    <t>Rate of return</t>
  </si>
  <si>
    <t>Real pre-tax WACC</t>
  </si>
  <si>
    <t>Inflation</t>
  </si>
  <si>
    <t>December CPI All Groups, Perth</t>
  </si>
  <si>
    <t>June CPI All Groups, Perth</t>
  </si>
  <si>
    <t>Operating expenditure</t>
  </si>
  <si>
    <t>High pressure mains</t>
  </si>
  <si>
    <t>Medium pressure mains</t>
  </si>
  <si>
    <t>$m</t>
  </si>
  <si>
    <t>Equipment and vehicles</t>
  </si>
  <si>
    <t>2010(1)</t>
  </si>
  <si>
    <t>2010/11</t>
  </si>
  <si>
    <t>2011/12</t>
  </si>
  <si>
    <t>2012/13</t>
  </si>
  <si>
    <t>2013/14</t>
  </si>
  <si>
    <t>New</t>
  </si>
  <si>
    <t>Low pressure mains</t>
  </si>
  <si>
    <t>years</t>
  </si>
  <si>
    <t>Full retail contestability</t>
  </si>
  <si>
    <t>assets</t>
  </si>
  <si>
    <t>Tariff class A1</t>
  </si>
  <si>
    <t>Tariff class A2</t>
  </si>
  <si>
    <t>Tariff class B3</t>
  </si>
  <si>
    <t>Tariff class B1</t>
  </si>
  <si>
    <t>Tariff class B2</t>
  </si>
  <si>
    <t>$/year</t>
  </si>
  <si>
    <t>Depreciation</t>
  </si>
  <si>
    <t>Working capital requirement</t>
  </si>
  <si>
    <t>PV factors</t>
  </si>
  <si>
    <t>Access Arrangement Period 3</t>
  </si>
  <si>
    <t>Medium/low pressure mains</t>
  </si>
  <si>
    <t>Meter and services pipes</t>
  </si>
  <si>
    <t>Initial capital base</t>
  </si>
  <si>
    <t>CAPEX in Access Arrangement period 1</t>
  </si>
  <si>
    <t>CAPEX in Access Arrangement period 2</t>
  </si>
  <si>
    <t>CAPEX in Access Arrangement period 3</t>
  </si>
  <si>
    <t>Pre-tax real WACC</t>
  </si>
  <si>
    <t>Asset lives</t>
  </si>
  <si>
    <t>Reference tariff A1</t>
  </si>
  <si>
    <t>Reference tariff A2</t>
  </si>
  <si>
    <t>Reference tariff B1</t>
  </si>
  <si>
    <t>Reference tariff B2</t>
  </si>
  <si>
    <t>Reference tariff B3</t>
  </si>
  <si>
    <t>Escalation/de-escalation factor 31 Dec 2009</t>
  </si>
  <si>
    <t>Efficiency gains</t>
  </si>
  <si>
    <t>Total revenue</t>
  </si>
  <si>
    <t>Depreciation:  initial capital base</t>
  </si>
  <si>
    <t>Capital base:  CAPEX 2000-2004</t>
  </si>
  <si>
    <t>Capital base:  CAPEX 2005-2009</t>
  </si>
  <si>
    <t>2014/15</t>
  </si>
  <si>
    <t>Depreciation:  2000 CAPEX</t>
  </si>
  <si>
    <t>Depreciation:  2001 CAPEX</t>
  </si>
  <si>
    <t>Forecast CAPEX 2010(I)-2013/14</t>
  </si>
  <si>
    <t>Depreciation:  2002 CAPEX</t>
  </si>
  <si>
    <t>Depreciation:  2004 CAPEX</t>
  </si>
  <si>
    <t>Depreciation:  2005 CAPEX</t>
  </si>
  <si>
    <t>Depreciation:  2006 CAPEX</t>
  </si>
  <si>
    <t>Depreciation:  2007 CAPEX</t>
  </si>
  <si>
    <t>Depreciation:  2008 CAPEX</t>
  </si>
  <si>
    <t>(Average for period)</t>
  </si>
  <si>
    <t>Depreciation:  2003 CAPEX</t>
  </si>
  <si>
    <t>Depreciation:  2009 CAPEX</t>
  </si>
  <si>
    <t>Depreciation:  2010(I) CAPEX</t>
  </si>
  <si>
    <t>Depreciation:  2011/12 CAPEX</t>
  </si>
  <si>
    <t>Depreciation:  2012/13 CAPEX</t>
  </si>
  <si>
    <t>Depreciation:  2013/14 CAPEX</t>
  </si>
  <si>
    <t>Depreciation:  2010/11 CAPEX</t>
  </si>
  <si>
    <t>Index</t>
  </si>
  <si>
    <t>Capital base:  CAPEX 2010(I)-2013/14</t>
  </si>
  <si>
    <t>CAPEX 2010(I)-2013/14</t>
  </si>
  <si>
    <t>ERA:  December quarter CPI</t>
  </si>
  <si>
    <t>Difference</t>
  </si>
  <si>
    <t>receiving prudent discounts</t>
  </si>
  <si>
    <t>ERA:  December quarter CPI 1999</t>
  </si>
  <si>
    <t>Present values</t>
  </si>
  <si>
    <t>Reference tariff</t>
  </si>
  <si>
    <t>Expected revenue at reference tariffs</t>
  </si>
  <si>
    <t>PV(Total revenue)</t>
  </si>
  <si>
    <t>PV(Stand alone costs)</t>
  </si>
  <si>
    <t>PV(Avoidable costs)</t>
  </si>
  <si>
    <t>$/GJ km</t>
  </si>
  <si>
    <t xml:space="preserve">  Demand</t>
  </si>
  <si>
    <t xml:space="preserve">    First 10 km</t>
  </si>
  <si>
    <t xml:space="preserve">    Distance &gt; 10 km</t>
  </si>
  <si>
    <t>Volume forecast for 2010(I)</t>
  </si>
  <si>
    <t>GJ km</t>
  </si>
  <si>
    <t>GJ</t>
  </si>
  <si>
    <t xml:space="preserve">  Usage</t>
  </si>
  <si>
    <t xml:space="preserve">  Standing charge</t>
  </si>
  <si>
    <t xml:space="preserve">  Demand charge</t>
  </si>
  <si>
    <t xml:space="preserve">  Usage charge</t>
  </si>
  <si>
    <t xml:space="preserve">    First 5 TJ</t>
  </si>
  <si>
    <r>
      <t xml:space="preserve">    5 TJ &lt; Volume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10 TJ</t>
    </r>
  </si>
  <si>
    <t xml:space="preserve">    Volume &gt; 10 TJ</t>
  </si>
  <si>
    <t xml:space="preserve">    Volume &gt; 5 TJ</t>
  </si>
  <si>
    <t xml:space="preserve">    Volume &gt; 100 GJ</t>
  </si>
  <si>
    <t xml:space="preserve">    First 100 GJ</t>
  </si>
  <si>
    <t xml:space="preserve">    First 15 GJ</t>
  </si>
  <si>
    <r>
      <t xml:space="preserve">    15 GJ &lt; Volume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45 GJ</t>
    </r>
  </si>
  <si>
    <t xml:space="preserve">    Volume &gt; 45 GJ</t>
  </si>
  <si>
    <t>Average user specific charge</t>
  </si>
  <si>
    <t>Volume</t>
  </si>
  <si>
    <t>GJ/year</t>
  </si>
  <si>
    <t>B3</t>
  </si>
  <si>
    <t>B2</t>
  </si>
  <si>
    <t>B1</t>
  </si>
  <si>
    <t>A2</t>
  </si>
  <si>
    <t>A1</t>
  </si>
  <si>
    <t>Reference services B2 and B3</t>
  </si>
  <si>
    <t>Reference services B1 and B2</t>
  </si>
  <si>
    <t>Reference services A2 and B1</t>
  </si>
  <si>
    <t>Reference services A1 and A2</t>
  </si>
  <si>
    <t>Average user cost:</t>
  </si>
  <si>
    <t xml:space="preserve">Forecast revenue from customers </t>
  </si>
  <si>
    <t>$, Dec-2009</t>
  </si>
  <si>
    <t>Capital Base at Start of Period</t>
  </si>
  <si>
    <t>(Non Discounted Customers only)</t>
  </si>
  <si>
    <t>TJ km</t>
  </si>
  <si>
    <t>PV Expected revenue at reference tariffs</t>
  </si>
  <si>
    <t>Lower Bound Check per Rule 94 (3)(b)</t>
  </si>
  <si>
    <t>Upper Bound Check per Rule 94 (3)(a)</t>
  </si>
  <si>
    <t>Return On Asset Base</t>
  </si>
  <si>
    <t>Return on Working Capital</t>
  </si>
  <si>
    <t>Check per Rule 92(2)</t>
  </si>
  <si>
    <t>Capital Base</t>
  </si>
  <si>
    <t xml:space="preserve">Capital Base </t>
  </si>
  <si>
    <t>2010/11(1)</t>
  </si>
  <si>
    <t>2010/11(2)</t>
  </si>
  <si>
    <t>Deduct Revenue from customers receiving prudent discounts</t>
  </si>
  <si>
    <t>Nett Required Reference Tariff Revenue</t>
  </si>
  <si>
    <t>Net of contributions $, Dec-2009</t>
  </si>
  <si>
    <t>Efficiency gains - Financial Years</t>
  </si>
  <si>
    <t>Capital Base - Opening</t>
  </si>
  <si>
    <t>Escalation/de-escalation factor to 31 Dec 2009</t>
  </si>
  <si>
    <t>Gas volumes for reference tariffs</t>
  </si>
  <si>
    <t>Delivery points for reference tariffs</t>
  </si>
  <si>
    <t>OPEX</t>
  </si>
  <si>
    <t>Depreciation: Conforming Network assets rolled into capital base 1/1/2010</t>
  </si>
  <si>
    <t>Conforming Network Assets Rolled into Capital Base 30/6/2010</t>
  </si>
  <si>
    <t>Depreciation: Conforming Network Assets Rolled into Capital Base 30/6/2010</t>
  </si>
  <si>
    <t>Avoidable Costs</t>
  </si>
  <si>
    <t>Stand Alone Costs</t>
  </si>
  <si>
    <t>Reference tariffs 2009 As Approved by ERA</t>
  </si>
  <si>
    <t>Enter tariffs in table below so that "Expected revenue at reference tariffs" equals "Nett required reference tariff revenue" at tab "Output"</t>
  </si>
  <si>
    <t>Conforming Network Assets Rolled into Capital Base 1/1/2010</t>
  </si>
  <si>
    <t>Input cells are shaded light green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</si>
</sst>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"/>
    <numFmt numFmtId="166" formatCode="0.0"/>
    <numFmt numFmtId="167" formatCode="_-* #,##0.000_-;\-* #,##0.000_-;_-* &quot;-&quot;??_-;_-@_-"/>
    <numFmt numFmtId="168" formatCode="#,##0.0"/>
    <numFmt numFmtId="169" formatCode="_-&quot;$&quot;* #,##0_-;\-&quot;$&quot;* #,##0_-;_-&quot;$&quot;* &quot;-&quot;??_-;_-@_-"/>
    <numFmt numFmtId="170" formatCode="_-* #,##0_-;\-* #,##0_-;_-* &quot;-&quot;??_-;_-@_-"/>
    <numFmt numFmtId="171" formatCode="#,##0.000"/>
    <numFmt numFmtId="172" formatCode="_-* #,##0.0_-;[Red]* \(#,##0.0\)_-;_-* &quot;-&quot;??_-;_-@_-"/>
    <numFmt numFmtId="173" formatCode="_-* #,##0.00_-;[Red]\(#,##0.00\)_-;_-* &quot;-&quot;??_-;_-@_-"/>
    <numFmt numFmtId="174" formatCode="_-\ #,##0.00_-;[Red]\-\ #,##0.00_-;_-\ &quot;-&quot;_-;_-@_-"/>
    <numFmt numFmtId="175" formatCode="_-\ #,##0.0_-;[Red]\-\ #,##0.0_-;_-\ &quot;-&quot;_-;_-@_-"/>
    <numFmt numFmtId="176" formatCode="_-\ #,##0.000_-;[Red]\-\ #,##0.000_-;_-\ &quot;-&quot;_-;_-@_-"/>
    <numFmt numFmtId="177" formatCode="#,##0.000000"/>
    <numFmt numFmtId="178" formatCode="0.0000000"/>
    <numFmt numFmtId="179" formatCode="0.000000"/>
    <numFmt numFmtId="180" formatCode="#,##0.0000"/>
    <numFmt numFmtId="181" formatCode="#,##0.00000"/>
    <numFmt numFmtId="182" formatCode="#,##0.0000000"/>
    <numFmt numFmtId="183" formatCode="#,##0.00000000"/>
    <numFmt numFmtId="184" formatCode="_-* #,##0.00_-;[Red]* \(#,##0.00\)_-;_-* &quot;-&quot;??_-;_-@_-"/>
    <numFmt numFmtId="185" formatCode="_-&quot;$&quot;* #,##0.0000_-;\-&quot;$&quot;* #,##0.0000_-;_-&quot;$&quot;* &quot;-&quot;??_-;_-@_-"/>
    <numFmt numFmtId="186" formatCode="_-&quot;$&quot;* #,##0.000000_-;\-&quot;$&quot;* #,##0.000000_-;_-&quot;$&quot;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&quot;$&quot;* #,##0.0_-;\-&quot;$&quot;* #,##0.0_-;_-&quot;$&quot;* &quot;-&quot;??_-;_-@_-"/>
    <numFmt numFmtId="193" formatCode="_-&quot;$&quot;* #,##0.00000_-;\-&quot;$&quot;* #,##0.00000_-;_-&quot;$&quot;* &quot;-&quot;??_-;_-@_-"/>
    <numFmt numFmtId="194" formatCode="_-* #,##0.000_-;[Red]* \(#,##0.000\)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#,##0.000000000000"/>
    <numFmt numFmtId="199" formatCode="0.00000000"/>
    <numFmt numFmtId="200" formatCode="0.00000"/>
    <numFmt numFmtId="201" formatCode="0.0000"/>
  </numFmts>
  <fonts count="47">
    <font>
      <sz val="10"/>
      <name val="Times New Roman"/>
      <family val="1"/>
    </font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i/>
      <sz val="10"/>
      <color indexed="8"/>
      <name val="Arial"/>
      <family val="2"/>
    </font>
    <font>
      <sz val="10"/>
      <color indexed="57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173" fontId="4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8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3" fontId="6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3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10" fontId="1" fillId="0" borderId="0" xfId="59" applyNumberFormat="1" applyFont="1" applyFill="1" applyAlignment="1">
      <alignment/>
    </xf>
    <xf numFmtId="0" fontId="15" fillId="0" borderId="0" xfId="0" applyNumberFormat="1" applyFont="1" applyAlignment="1">
      <alignment/>
    </xf>
    <xf numFmtId="168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37" fillId="0" borderId="0" xfId="0" applyNumberFormat="1" applyFont="1" applyBorder="1" applyAlignment="1">
      <alignment horizontal="right"/>
    </xf>
    <xf numFmtId="0" fontId="3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4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3" fontId="1" fillId="0" borderId="0" xfId="42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5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Border="1" applyAlignment="1">
      <alignment/>
    </xf>
    <xf numFmtId="171" fontId="38" fillId="4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24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 horizontal="right"/>
    </xf>
    <xf numFmtId="173" fontId="6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7" fillId="0" borderId="0" xfId="0" applyNumberFormat="1" applyFont="1" applyAlignment="1">
      <alignment/>
    </xf>
    <xf numFmtId="170" fontId="1" fillId="0" borderId="0" xfId="4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3" fontId="38" fillId="4" borderId="0" xfId="0" applyNumberFormat="1" applyFont="1" applyFill="1" applyAlignment="1">
      <alignment/>
    </xf>
    <xf numFmtId="10" fontId="38" fillId="4" borderId="0" xfId="59" applyNumberFormat="1" applyFont="1" applyFill="1" applyBorder="1" applyAlignment="1" applyProtection="1">
      <alignment/>
      <protection locked="0"/>
    </xf>
    <xf numFmtId="0" fontId="38" fillId="4" borderId="0" xfId="0" applyNumberFormat="1" applyFont="1" applyFill="1" applyAlignment="1">
      <alignment horizontal="right"/>
    </xf>
    <xf numFmtId="0" fontId="38" fillId="4" borderId="0" xfId="0" applyNumberFormat="1" applyFont="1" applyFill="1" applyBorder="1" applyAlignment="1">
      <alignment horizontal="right"/>
    </xf>
    <xf numFmtId="2" fontId="38" fillId="4" borderId="0" xfId="0" applyNumberFormat="1" applyFont="1" applyFill="1" applyBorder="1" applyAlignment="1">
      <alignment horizontal="right"/>
    </xf>
    <xf numFmtId="166" fontId="38" fillId="4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6" fillId="24" borderId="0" xfId="0" applyNumberFormat="1" applyFont="1" applyFill="1" applyAlignment="1">
      <alignment vertical="center"/>
    </xf>
    <xf numFmtId="0" fontId="16" fillId="24" borderId="0" xfId="0" applyNumberFormat="1" applyFont="1" applyFill="1" applyAlignment="1">
      <alignment horizontal="right" vertical="center"/>
    </xf>
    <xf numFmtId="0" fontId="1" fillId="24" borderId="0" xfId="0" applyNumberFormat="1" applyFont="1" applyFill="1" applyAlignment="1">
      <alignment vertical="center"/>
    </xf>
    <xf numFmtId="0" fontId="39" fillId="2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171" fontId="38" fillId="4" borderId="0" xfId="0" applyNumberFormat="1" applyFont="1" applyFill="1" applyAlignment="1">
      <alignment horizontal="right"/>
    </xf>
    <xf numFmtId="0" fontId="37" fillId="0" borderId="0" xfId="0" applyNumberFormat="1" applyFont="1" applyAlignment="1">
      <alignment/>
    </xf>
    <xf numFmtId="2" fontId="38" fillId="0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16" fillId="24" borderId="0" xfId="0" applyNumberFormat="1" applyFont="1" applyFill="1" applyAlignment="1">
      <alignment horizontal="center" vertical="center"/>
    </xf>
    <xf numFmtId="0" fontId="39" fillId="24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5" fillId="24" borderId="0" xfId="0" applyNumberFormat="1" applyFont="1" applyFill="1" applyAlignment="1">
      <alignment/>
    </xf>
    <xf numFmtId="0" fontId="16" fillId="24" borderId="0" xfId="0" applyNumberFormat="1" applyFont="1" applyFill="1" applyAlignment="1">
      <alignment/>
    </xf>
    <xf numFmtId="0" fontId="15" fillId="24" borderId="0" xfId="0" applyNumberFormat="1" applyFont="1" applyFill="1" applyBorder="1" applyAlignment="1">
      <alignment/>
    </xf>
    <xf numFmtId="171" fontId="15" fillId="0" borderId="0" xfId="0" applyNumberFormat="1" applyFont="1" applyFill="1" applyBorder="1" applyAlignment="1">
      <alignment horizontal="right"/>
    </xf>
    <xf numFmtId="0" fontId="16" fillId="24" borderId="0" xfId="0" applyNumberFormat="1" applyFont="1" applyFill="1" applyAlignment="1">
      <alignment horizontal="left"/>
    </xf>
    <xf numFmtId="0" fontId="1" fillId="24" borderId="0" xfId="0" applyNumberFormat="1" applyFont="1" applyFill="1" applyAlignment="1">
      <alignment horizontal="center"/>
    </xf>
    <xf numFmtId="173" fontId="1" fillId="0" borderId="0" xfId="0" applyFont="1" applyFill="1" applyBorder="1" applyAlignment="1">
      <alignment horizontal="center"/>
    </xf>
    <xf numFmtId="0" fontId="1" fillId="24" borderId="0" xfId="0" applyNumberFormat="1" applyFont="1" applyFill="1" applyAlignment="1">
      <alignment horizontal="center" vertical="center"/>
    </xf>
    <xf numFmtId="173" fontId="1" fillId="24" borderId="0" xfId="0" applyFont="1" applyFill="1" applyBorder="1" applyAlignment="1">
      <alignment horizontal="center"/>
    </xf>
    <xf numFmtId="173" fontId="1" fillId="0" borderId="0" xfId="0" applyFont="1" applyBorder="1" applyAlignment="1">
      <alignment horizontal="center"/>
    </xf>
    <xf numFmtId="173" fontId="15" fillId="24" borderId="0" xfId="0" applyFont="1" applyFill="1" applyBorder="1" applyAlignment="1">
      <alignment horizontal="center"/>
    </xf>
    <xf numFmtId="0" fontId="9" fillId="24" borderId="0" xfId="0" applyNumberFormat="1" applyFont="1" applyFill="1" applyAlignment="1">
      <alignment horizontal="center" vertical="center"/>
    </xf>
    <xf numFmtId="171" fontId="1" fillId="0" borderId="0" xfId="42" applyNumberFormat="1" applyFont="1" applyAlignment="1">
      <alignment/>
    </xf>
    <xf numFmtId="171" fontId="1" fillId="0" borderId="10" xfId="42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4" fontId="38" fillId="0" borderId="0" xfId="0" applyNumberFormat="1" applyFont="1" applyFill="1" applyBorder="1" applyAlignment="1">
      <alignment horizontal="right"/>
    </xf>
    <xf numFmtId="171" fontId="1" fillId="24" borderId="0" xfId="0" applyNumberFormat="1" applyFont="1" applyFill="1" applyAlignment="1">
      <alignment/>
    </xf>
    <xf numFmtId="168" fontId="38" fillId="0" borderId="0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 horizontal="right"/>
    </xf>
    <xf numFmtId="177" fontId="14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1" fillId="24" borderId="0" xfId="0" applyNumberFormat="1" applyFont="1" applyFill="1" applyAlignment="1">
      <alignment/>
    </xf>
    <xf numFmtId="0" fontId="0" fillId="24" borderId="0" xfId="0" applyNumberFormat="1" applyFill="1" applyAlignment="1">
      <alignment/>
    </xf>
    <xf numFmtId="170" fontId="1" fillId="0" borderId="0" xfId="42" applyNumberFormat="1" applyFont="1" applyFill="1" applyAlignment="1">
      <alignment horizontal="right"/>
    </xf>
    <xf numFmtId="170" fontId="4" fillId="0" borderId="0" xfId="42" applyNumberFormat="1" applyFont="1" applyFill="1" applyAlignment="1">
      <alignment horizontal="right"/>
    </xf>
    <xf numFmtId="170" fontId="1" fillId="0" borderId="0" xfId="42" applyNumberFormat="1" applyFont="1" applyFill="1" applyAlignment="1">
      <alignment/>
    </xf>
    <xf numFmtId="171" fontId="7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/>
    </xf>
    <xf numFmtId="43" fontId="1" fillId="0" borderId="0" xfId="42" applyFont="1" applyAlignment="1">
      <alignment/>
    </xf>
    <xf numFmtId="0" fontId="4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0" fontId="0" fillId="0" borderId="0" xfId="42" applyNumberFormat="1" applyAlignment="1">
      <alignment/>
    </xf>
    <xf numFmtId="3" fontId="38" fillId="4" borderId="0" xfId="0" applyNumberFormat="1" applyFont="1" applyFill="1" applyBorder="1" applyAlignment="1">
      <alignment horizontal="right"/>
    </xf>
    <xf numFmtId="170" fontId="38" fillId="0" borderId="0" xfId="42" applyNumberFormat="1" applyFont="1" applyFill="1" applyBorder="1" applyAlignment="1">
      <alignment horizontal="right"/>
    </xf>
    <xf numFmtId="171" fontId="38" fillId="0" borderId="0" xfId="42" applyNumberFormat="1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0" fontId="15" fillId="0" borderId="0" xfId="0" applyNumberFormat="1" applyFont="1" applyAlignment="1">
      <alignment wrapText="1"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16" fillId="24" borderId="0" xfId="0" applyNumberFormat="1" applyFont="1" applyFill="1" applyAlignment="1">
      <alignment vertical="center"/>
    </xf>
    <xf numFmtId="0" fontId="16" fillId="24" borderId="0" xfId="0" applyNumberFormat="1" applyFont="1" applyFill="1" applyAlignment="1">
      <alignment horizontal="right" vertical="center"/>
    </xf>
    <xf numFmtId="44" fontId="1" fillId="0" borderId="0" xfId="44" applyFont="1" applyAlignment="1">
      <alignment/>
    </xf>
    <xf numFmtId="169" fontId="1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3" fontId="1" fillId="0" borderId="13" xfId="42" applyFont="1" applyBorder="1" applyAlignment="1">
      <alignment/>
    </xf>
    <xf numFmtId="186" fontId="1" fillId="0" borderId="0" xfId="44" applyNumberFormat="1" applyFont="1" applyAlignment="1">
      <alignment/>
    </xf>
    <xf numFmtId="171" fontId="0" fillId="0" borderId="0" xfId="0" applyNumberFormat="1" applyFont="1" applyFill="1" applyAlignment="1">
      <alignment/>
    </xf>
    <xf numFmtId="194" fontId="7" fillId="0" borderId="0" xfId="0" applyNumberFormat="1" applyFont="1" applyFill="1" applyBorder="1" applyAlignment="1">
      <alignment/>
    </xf>
    <xf numFmtId="194" fontId="1" fillId="0" borderId="0" xfId="42" applyNumberFormat="1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0" fontId="38" fillId="4" borderId="0" xfId="42" applyNumberFormat="1" applyFont="1" applyFill="1" applyBorder="1" applyAlignment="1">
      <alignment horizontal="right"/>
    </xf>
    <xf numFmtId="167" fontId="38" fillId="4" borderId="0" xfId="42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/>
    </xf>
    <xf numFmtId="0" fontId="16" fillId="24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/>
    </xf>
    <xf numFmtId="44" fontId="1" fillId="0" borderId="14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15" xfId="44" applyFont="1" applyBorder="1" applyAlignment="1">
      <alignment/>
    </xf>
    <xf numFmtId="44" fontId="1" fillId="4" borderId="14" xfId="44" applyFont="1" applyFill="1" applyBorder="1" applyAlignment="1">
      <alignment/>
    </xf>
    <xf numFmtId="44" fontId="1" fillId="4" borderId="0" xfId="44" applyFont="1" applyFill="1" applyBorder="1" applyAlignment="1">
      <alignment/>
    </xf>
    <xf numFmtId="44" fontId="1" fillId="4" borderId="15" xfId="44" applyFont="1" applyFill="1" applyBorder="1" applyAlignment="1">
      <alignment/>
    </xf>
    <xf numFmtId="186" fontId="1" fillId="4" borderId="14" xfId="44" applyNumberFormat="1" applyFont="1" applyFill="1" applyBorder="1" applyAlignment="1">
      <alignment/>
    </xf>
    <xf numFmtId="186" fontId="1" fillId="4" borderId="0" xfId="44" applyNumberFormat="1" applyFont="1" applyFill="1" applyBorder="1" applyAlignment="1">
      <alignment/>
    </xf>
    <xf numFmtId="186" fontId="1" fillId="4" borderId="15" xfId="44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177" fontId="1" fillId="4" borderId="14" xfId="0" applyNumberFormat="1" applyFont="1" applyFill="1" applyBorder="1" applyAlignment="1">
      <alignment/>
    </xf>
    <xf numFmtId="177" fontId="1" fillId="4" borderId="0" xfId="0" applyNumberFormat="1" applyFont="1" applyFill="1" applyBorder="1" applyAlignment="1">
      <alignment/>
    </xf>
    <xf numFmtId="177" fontId="1" fillId="4" borderId="15" xfId="0" applyNumberFormat="1" applyFont="1" applyFill="1" applyBorder="1" applyAlignment="1">
      <alignment/>
    </xf>
    <xf numFmtId="177" fontId="1" fillId="4" borderId="16" xfId="0" applyNumberFormat="1" applyFont="1" applyFill="1" applyBorder="1" applyAlignment="1">
      <alignment/>
    </xf>
    <xf numFmtId="177" fontId="1" fillId="4" borderId="17" xfId="0" applyNumberFormat="1" applyFont="1" applyFill="1" applyBorder="1" applyAlignment="1">
      <alignment/>
    </xf>
    <xf numFmtId="177" fontId="1" fillId="4" borderId="18" xfId="0" applyNumberFormat="1" applyFont="1" applyFill="1" applyBorder="1" applyAlignment="1">
      <alignment/>
    </xf>
    <xf numFmtId="0" fontId="3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14" xfId="60" applyFont="1" applyBorder="1" applyAlignment="1">
      <alignment horizontal="left"/>
      <protection/>
    </xf>
    <xf numFmtId="0" fontId="1" fillId="0" borderId="15" xfId="0" applyNumberFormat="1" applyFont="1" applyFill="1" applyBorder="1" applyAlignment="1">
      <alignment/>
    </xf>
    <xf numFmtId="0" fontId="15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6" xfId="60" applyFont="1" applyBorder="1" applyAlignment="1">
      <alignment horizontal="left"/>
      <protection/>
    </xf>
    <xf numFmtId="0" fontId="1" fillId="0" borderId="17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166" fontId="15" fillId="0" borderId="22" xfId="0" applyNumberFormat="1" applyFont="1" applyFill="1" applyBorder="1" applyAlignment="1">
      <alignment vertical="center"/>
    </xf>
    <xf numFmtId="171" fontId="1" fillId="0" borderId="22" xfId="0" applyNumberFormat="1" applyFont="1" applyBorder="1" applyAlignment="1">
      <alignment/>
    </xf>
    <xf numFmtId="173" fontId="6" fillId="0" borderId="23" xfId="0" applyFont="1" applyFill="1" applyBorder="1" applyAlignment="1">
      <alignment horizontal="center"/>
    </xf>
    <xf numFmtId="173" fontId="1" fillId="0" borderId="22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71" fontId="15" fillId="0" borderId="22" xfId="0" applyNumberFormat="1" applyFont="1" applyFill="1" applyBorder="1" applyAlignment="1">
      <alignment horizontal="right"/>
    </xf>
    <xf numFmtId="170" fontId="1" fillId="0" borderId="22" xfId="42" applyNumberFormat="1" applyFont="1" applyFill="1" applyBorder="1" applyAlignment="1">
      <alignment/>
    </xf>
    <xf numFmtId="0" fontId="1" fillId="24" borderId="22" xfId="0" applyNumberFormat="1" applyFont="1" applyFill="1" applyBorder="1" applyAlignment="1">
      <alignment/>
    </xf>
    <xf numFmtId="171" fontId="1" fillId="0" borderId="23" xfId="0" applyNumberFormat="1" applyFont="1" applyFill="1" applyBorder="1" applyAlignment="1">
      <alignment/>
    </xf>
    <xf numFmtId="171" fontId="1" fillId="0" borderId="24" xfId="0" applyNumberFormat="1" applyFont="1" applyFill="1" applyBorder="1" applyAlignment="1">
      <alignment/>
    </xf>
    <xf numFmtId="171" fontId="1" fillId="0" borderId="22" xfId="0" applyNumberFormat="1" applyFont="1" applyFill="1" applyBorder="1" applyAlignment="1">
      <alignment/>
    </xf>
    <xf numFmtId="171" fontId="1" fillId="0" borderId="23" xfId="0" applyNumberFormat="1" applyFont="1" applyBorder="1" applyAlignment="1">
      <alignment/>
    </xf>
    <xf numFmtId="0" fontId="15" fillId="24" borderId="22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176" fontId="1" fillId="0" borderId="22" xfId="0" applyNumberFormat="1" applyFont="1" applyFill="1" applyBorder="1" applyAlignment="1">
      <alignment/>
    </xf>
    <xf numFmtId="175" fontId="1" fillId="0" borderId="23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17" xfId="0" applyNumberFormat="1" applyFont="1" applyBorder="1" applyAlignment="1">
      <alignment/>
    </xf>
    <xf numFmtId="44" fontId="1" fillId="0" borderId="0" xfId="44" applyFont="1" applyFill="1" applyBorder="1" applyAlignment="1">
      <alignment/>
    </xf>
    <xf numFmtId="186" fontId="1" fillId="0" borderId="0" xfId="44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17" xfId="0" applyNumberFormat="1" applyFont="1" applyFill="1" applyBorder="1" applyAlignment="1">
      <alignment/>
    </xf>
    <xf numFmtId="10" fontId="35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71" fontId="15" fillId="4" borderId="0" xfId="0" applyNumberFormat="1" applyFont="1" applyFill="1" applyBorder="1" applyAlignment="1">
      <alignment horizontal="right"/>
    </xf>
    <xf numFmtId="171" fontId="1" fillId="4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0" fontId="1" fillId="4" borderId="25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center"/>
    </xf>
    <xf numFmtId="0" fontId="3" fillId="4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Switching:  B3 to B2</a:t>
            </a:r>
          </a:p>
        </c:rich>
      </c:tx>
      <c:layout>
        <c:manualLayout>
          <c:xMode val="factor"/>
          <c:yMode val="factor"/>
          <c:x val="-0.120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5"/>
          <c:w val="0.80525"/>
          <c:h val="0.81125"/>
        </c:manualLayout>
      </c:layout>
      <c:scatterChart>
        <c:scatterStyle val="smoothMarker"/>
        <c:varyColors val="0"/>
        <c:ser>
          <c:idx val="0"/>
          <c:order val="0"/>
          <c:tx>
            <c:v>B3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Output!$C$46:$C$70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Output!$E$46:$E$70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B2 cost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Output!$C$46:$C$70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Output!$F$46:$F$70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66228611"/>
        <c:axId val="59186588"/>
      </c:scatterChart>
      <c:val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GJ/year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 val="autoZero"/>
        <c:crossBetween val="midCat"/>
        <c:dispUnits/>
      </c:valAx>
      <c:valAx>
        <c:axId val="59186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$/GJ</a:t>
                </a:r>
              </a:p>
            </c:rich>
          </c:tx>
          <c:layout>
            <c:manualLayout>
              <c:xMode val="factor"/>
              <c:yMode val="factor"/>
              <c:x val="0.02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28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705"/>
          <c:w val="0.109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Switching:  B2 to B1</a:t>
            </a:r>
          </a:p>
        </c:rich>
      </c:tx>
      <c:layout>
        <c:manualLayout>
          <c:xMode val="factor"/>
          <c:yMode val="factor"/>
          <c:x val="-0.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425"/>
          <c:w val="0.811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B2 cost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Output!$C$76:$C$100</c:f>
              <c:numCache>
                <c:ptCount val="25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</c:numCache>
            </c:numRef>
          </c:xVal>
          <c:yVal>
            <c:numRef>
              <c:f>Output!$E$76:$E$100</c:f>
              <c:numCache>
                <c:ptCount val="25"/>
                <c:pt idx="0">
                  <c:v>12.4</c:v>
                </c:pt>
                <c:pt idx="1">
                  <c:v>9.7</c:v>
                </c:pt>
                <c:pt idx="2">
                  <c:v>8.8</c:v>
                </c:pt>
                <c:pt idx="3">
                  <c:v>8.35</c:v>
                </c:pt>
                <c:pt idx="4">
                  <c:v>8.08</c:v>
                </c:pt>
                <c:pt idx="5">
                  <c:v>7.9</c:v>
                </c:pt>
                <c:pt idx="6">
                  <c:v>7.771428571428571</c:v>
                </c:pt>
                <c:pt idx="7">
                  <c:v>7.675</c:v>
                </c:pt>
                <c:pt idx="8">
                  <c:v>7.6</c:v>
                </c:pt>
                <c:pt idx="9">
                  <c:v>7.54</c:v>
                </c:pt>
                <c:pt idx="10">
                  <c:v>7.490909090909091</c:v>
                </c:pt>
                <c:pt idx="11">
                  <c:v>7.45</c:v>
                </c:pt>
                <c:pt idx="12">
                  <c:v>7.415384615384616</c:v>
                </c:pt>
                <c:pt idx="13">
                  <c:v>7.385714285714286</c:v>
                </c:pt>
                <c:pt idx="14">
                  <c:v>7.36</c:v>
                </c:pt>
                <c:pt idx="15">
                  <c:v>7.3375</c:v>
                </c:pt>
                <c:pt idx="16">
                  <c:v>7.317647058823529</c:v>
                </c:pt>
                <c:pt idx="17">
                  <c:v>7.3</c:v>
                </c:pt>
                <c:pt idx="18">
                  <c:v>7.28421052631579</c:v>
                </c:pt>
                <c:pt idx="19">
                  <c:v>7.27</c:v>
                </c:pt>
                <c:pt idx="20">
                  <c:v>7.257142857142857</c:v>
                </c:pt>
                <c:pt idx="21">
                  <c:v>7.245454545454545</c:v>
                </c:pt>
                <c:pt idx="22">
                  <c:v>7.234782608695652</c:v>
                </c:pt>
                <c:pt idx="23">
                  <c:v>7.225</c:v>
                </c:pt>
                <c:pt idx="24">
                  <c:v>7.216</c:v>
                </c:pt>
              </c:numCache>
            </c:numRef>
          </c:yVal>
          <c:smooth val="1"/>
        </c:ser>
        <c:ser>
          <c:idx val="1"/>
          <c:order val="1"/>
          <c:tx>
            <c:v>B1 cost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Output!$C$76:$C$100</c:f>
              <c:numCache>
                <c:ptCount val="25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</c:numCache>
            </c:numRef>
          </c:xVal>
          <c:yVal>
            <c:numRef>
              <c:f>Output!$F$76:$F$100</c:f>
              <c:numCache>
                <c:ptCount val="25"/>
                <c:pt idx="0">
                  <c:v>61.29</c:v>
                </c:pt>
                <c:pt idx="1">
                  <c:v>33.315</c:v>
                </c:pt>
                <c:pt idx="2">
                  <c:v>23.99</c:v>
                </c:pt>
                <c:pt idx="3">
                  <c:v>19.3275</c:v>
                </c:pt>
                <c:pt idx="4">
                  <c:v>16.53</c:v>
                </c:pt>
                <c:pt idx="5">
                  <c:v>14.665</c:v>
                </c:pt>
                <c:pt idx="6">
                  <c:v>13.332857142857144</c:v>
                </c:pt>
                <c:pt idx="7">
                  <c:v>12.33375</c:v>
                </c:pt>
                <c:pt idx="8">
                  <c:v>11.556666666666667</c:v>
                </c:pt>
                <c:pt idx="9">
                  <c:v>10.935</c:v>
                </c:pt>
                <c:pt idx="10">
                  <c:v>10.426363636363636</c:v>
                </c:pt>
                <c:pt idx="11">
                  <c:v>10.0025</c:v>
                </c:pt>
                <c:pt idx="12">
                  <c:v>9.643846153846154</c:v>
                </c:pt>
                <c:pt idx="13">
                  <c:v>9.336428571428572</c:v>
                </c:pt>
                <c:pt idx="14">
                  <c:v>9.07</c:v>
                </c:pt>
                <c:pt idx="15">
                  <c:v>8.836875</c:v>
                </c:pt>
                <c:pt idx="16">
                  <c:v>8.631176470588235</c:v>
                </c:pt>
                <c:pt idx="17">
                  <c:v>8.448333333333334</c:v>
                </c:pt>
                <c:pt idx="18">
                  <c:v>8.284736842105263</c:v>
                </c:pt>
                <c:pt idx="19">
                  <c:v>8.1375</c:v>
                </c:pt>
                <c:pt idx="20">
                  <c:v>8.004285714285714</c:v>
                </c:pt>
                <c:pt idx="21">
                  <c:v>7.883181818181818</c:v>
                </c:pt>
                <c:pt idx="22">
                  <c:v>7.772608695652174</c:v>
                </c:pt>
                <c:pt idx="23">
                  <c:v>7.67125</c:v>
                </c:pt>
                <c:pt idx="24">
                  <c:v>7.578</c:v>
                </c:pt>
              </c:numCache>
            </c:numRef>
          </c:yVal>
          <c:smooth val="1"/>
        </c:ser>
        <c:axId val="62917245"/>
        <c:axId val="29384294"/>
      </c:scatterChart>
      <c:valAx>
        <c:axId val="6291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GJ/year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4294"/>
        <c:crosses val="autoZero"/>
        <c:crossBetween val="midCat"/>
        <c:dispUnits/>
      </c:valAx>
      <c:valAx>
        <c:axId val="29384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$/GJ</a:t>
                </a:r>
              </a:p>
            </c:rich>
          </c:tx>
          <c:layout>
            <c:manualLayout>
              <c:xMode val="factor"/>
              <c:yMode val="factor"/>
              <c:x val="0.016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705"/>
          <c:w val="0.105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Switching:  B1 to A2</a:t>
            </a:r>
          </a:p>
        </c:rich>
      </c:tx>
      <c:layout>
        <c:manualLayout>
          <c:xMode val="factor"/>
          <c:yMode val="factor"/>
          <c:x val="-0.120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425"/>
          <c:w val="0.804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B1 cost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Output!$C$106:$C$130</c:f>
              <c:numCache>
                <c:ptCount val="25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  <c:pt idx="20">
                  <c:v>12000</c:v>
                </c:pt>
                <c:pt idx="21">
                  <c:v>12500</c:v>
                </c:pt>
                <c:pt idx="22">
                  <c:v>13000</c:v>
                </c:pt>
                <c:pt idx="23">
                  <c:v>13500</c:v>
                </c:pt>
                <c:pt idx="24">
                  <c:v>14000</c:v>
                </c:pt>
              </c:numCache>
            </c:numRef>
          </c:xVal>
          <c:yVal>
            <c:numRef>
              <c:f>Output!$E$106:$E$130</c:f>
              <c:numCache>
                <c:ptCount val="25"/>
                <c:pt idx="0">
                  <c:v>6.73875</c:v>
                </c:pt>
                <c:pt idx="1">
                  <c:v>6.459</c:v>
                </c:pt>
                <c:pt idx="2">
                  <c:v>6.2725</c:v>
                </c:pt>
                <c:pt idx="3">
                  <c:v>6.139285714285714</c:v>
                </c:pt>
                <c:pt idx="4">
                  <c:v>6.039375</c:v>
                </c:pt>
                <c:pt idx="5">
                  <c:v>5.961666666666667</c:v>
                </c:pt>
                <c:pt idx="6">
                  <c:v>5.8995</c:v>
                </c:pt>
                <c:pt idx="7">
                  <c:v>5.848636363636364</c:v>
                </c:pt>
                <c:pt idx="8">
                  <c:v>5.80625</c:v>
                </c:pt>
                <c:pt idx="9">
                  <c:v>5.770384615384615</c:v>
                </c:pt>
                <c:pt idx="10">
                  <c:v>5.739642857142857</c:v>
                </c:pt>
                <c:pt idx="11">
                  <c:v>5.713</c:v>
                </c:pt>
                <c:pt idx="12">
                  <c:v>5.6896875</c:v>
                </c:pt>
                <c:pt idx="13">
                  <c:v>5.669117647058823</c:v>
                </c:pt>
                <c:pt idx="14">
                  <c:v>5.650833333333333</c:v>
                </c:pt>
                <c:pt idx="15">
                  <c:v>5.634473684210526</c:v>
                </c:pt>
                <c:pt idx="16">
                  <c:v>5.61975</c:v>
                </c:pt>
                <c:pt idx="17">
                  <c:v>5.606428571428571</c:v>
                </c:pt>
                <c:pt idx="18">
                  <c:v>5.594318181818182</c:v>
                </c:pt>
                <c:pt idx="19">
                  <c:v>5.583260869565217</c:v>
                </c:pt>
                <c:pt idx="20">
                  <c:v>5.573125</c:v>
                </c:pt>
                <c:pt idx="21">
                  <c:v>5.5638</c:v>
                </c:pt>
                <c:pt idx="22">
                  <c:v>5.555192307692308</c:v>
                </c:pt>
                <c:pt idx="23">
                  <c:v>5.5472222222222225</c:v>
                </c:pt>
                <c:pt idx="24">
                  <c:v>5.539821428571429</c:v>
                </c:pt>
              </c:numCache>
            </c:numRef>
          </c:yVal>
          <c:smooth val="1"/>
        </c:ser>
        <c:ser>
          <c:idx val="1"/>
          <c:order val="1"/>
          <c:tx>
            <c:v>A2 cost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Output!$C$106:$C$130</c:f>
              <c:numCache>
                <c:ptCount val="25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  <c:pt idx="15">
                  <c:v>9500</c:v>
                </c:pt>
                <c:pt idx="16">
                  <c:v>10000</c:v>
                </c:pt>
                <c:pt idx="17">
                  <c:v>10500</c:v>
                </c:pt>
                <c:pt idx="18">
                  <c:v>11000</c:v>
                </c:pt>
                <c:pt idx="19">
                  <c:v>11500</c:v>
                </c:pt>
                <c:pt idx="20">
                  <c:v>12000</c:v>
                </c:pt>
                <c:pt idx="21">
                  <c:v>12500</c:v>
                </c:pt>
                <c:pt idx="22">
                  <c:v>13000</c:v>
                </c:pt>
                <c:pt idx="23">
                  <c:v>13500</c:v>
                </c:pt>
                <c:pt idx="24">
                  <c:v>14000</c:v>
                </c:pt>
              </c:numCache>
            </c:numRef>
          </c:xVal>
          <c:yVal>
            <c:numRef>
              <c:f>Output!$F$106:$F$130</c:f>
              <c:numCache>
                <c:ptCount val="25"/>
                <c:pt idx="0">
                  <c:v>20.854</c:v>
                </c:pt>
                <c:pt idx="1">
                  <c:v>17.1232</c:v>
                </c:pt>
                <c:pt idx="2">
                  <c:v>14.636</c:v>
                </c:pt>
                <c:pt idx="3">
                  <c:v>12.859428571428571</c:v>
                </c:pt>
                <c:pt idx="4">
                  <c:v>11.527</c:v>
                </c:pt>
                <c:pt idx="5">
                  <c:v>10.490666666666666</c:v>
                </c:pt>
                <c:pt idx="6">
                  <c:v>9.6616</c:v>
                </c:pt>
                <c:pt idx="7">
                  <c:v>8.983272727272727</c:v>
                </c:pt>
                <c:pt idx="8">
                  <c:v>8.418</c:v>
                </c:pt>
                <c:pt idx="9">
                  <c:v>7.939692307692308</c:v>
                </c:pt>
                <c:pt idx="10">
                  <c:v>7.529714285714285</c:v>
                </c:pt>
                <c:pt idx="11">
                  <c:v>7.1744</c:v>
                </c:pt>
                <c:pt idx="12">
                  <c:v>6.8635</c:v>
                </c:pt>
                <c:pt idx="13">
                  <c:v>6.589176470588235</c:v>
                </c:pt>
                <c:pt idx="14">
                  <c:v>6.3453333333333335</c:v>
                </c:pt>
                <c:pt idx="15">
                  <c:v>6.127157894736842</c:v>
                </c:pt>
                <c:pt idx="16">
                  <c:v>5.9308</c:v>
                </c:pt>
                <c:pt idx="17">
                  <c:v>5.753142857142858</c:v>
                </c:pt>
                <c:pt idx="18">
                  <c:v>5.591636363636364</c:v>
                </c:pt>
                <c:pt idx="19">
                  <c:v>5.444173913043478</c:v>
                </c:pt>
                <c:pt idx="20">
                  <c:v>5.309</c:v>
                </c:pt>
                <c:pt idx="21">
                  <c:v>5.18464</c:v>
                </c:pt>
                <c:pt idx="22">
                  <c:v>5.069846153846154</c:v>
                </c:pt>
                <c:pt idx="23">
                  <c:v>4.963555555555556</c:v>
                </c:pt>
                <c:pt idx="24">
                  <c:v>4.864857142857143</c:v>
                </c:pt>
              </c:numCache>
            </c:numRef>
          </c:yVal>
          <c:smooth val="1"/>
        </c:ser>
        <c:axId val="63132055"/>
        <c:axId val="31317584"/>
      </c:scatterChart>
      <c:valAx>
        <c:axId val="6313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GJ/year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84"/>
        <c:crosses val="autoZero"/>
        <c:crossBetween val="midCat"/>
        <c:dispUnits/>
      </c:valAx>
      <c:valAx>
        <c:axId val="3131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$/GJ</a:t>
                </a:r>
              </a:p>
            </c:rich>
          </c:tx>
          <c:layout>
            <c:manualLayout>
              <c:xMode val="factor"/>
              <c:yMode val="factor"/>
              <c:x val="0.013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0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705"/>
          <c:w val="0.109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Switching:  A2 to A1</a:t>
            </a:r>
          </a:p>
        </c:rich>
      </c:tx>
      <c:layout>
        <c:manualLayout>
          <c:xMode val="factor"/>
          <c:yMode val="factor"/>
          <c:x val="-0.124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425"/>
          <c:w val="0.817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A2 cost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Output!$C$136:$C$160</c:f>
              <c:numCache>
                <c:ptCount val="25"/>
                <c:pt idx="0">
                  <c:v>10000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18000</c:v>
                </c:pt>
                <c:pt idx="5">
                  <c:v>20000</c:v>
                </c:pt>
                <c:pt idx="6">
                  <c:v>22000</c:v>
                </c:pt>
                <c:pt idx="7">
                  <c:v>24000</c:v>
                </c:pt>
                <c:pt idx="8">
                  <c:v>26000</c:v>
                </c:pt>
                <c:pt idx="9">
                  <c:v>28000</c:v>
                </c:pt>
                <c:pt idx="10">
                  <c:v>30000</c:v>
                </c:pt>
                <c:pt idx="11">
                  <c:v>32000</c:v>
                </c:pt>
                <c:pt idx="12">
                  <c:v>34000</c:v>
                </c:pt>
                <c:pt idx="13">
                  <c:v>36000</c:v>
                </c:pt>
                <c:pt idx="14">
                  <c:v>38000</c:v>
                </c:pt>
                <c:pt idx="15">
                  <c:v>40000</c:v>
                </c:pt>
                <c:pt idx="16">
                  <c:v>42000</c:v>
                </c:pt>
                <c:pt idx="17">
                  <c:v>44000</c:v>
                </c:pt>
                <c:pt idx="18">
                  <c:v>46000</c:v>
                </c:pt>
                <c:pt idx="19">
                  <c:v>48000</c:v>
                </c:pt>
                <c:pt idx="20">
                  <c:v>50000</c:v>
                </c:pt>
                <c:pt idx="21">
                  <c:v>52000</c:v>
                </c:pt>
                <c:pt idx="22">
                  <c:v>54000</c:v>
                </c:pt>
                <c:pt idx="23">
                  <c:v>56000</c:v>
                </c:pt>
                <c:pt idx="24">
                  <c:v>58000</c:v>
                </c:pt>
              </c:numCache>
            </c:numRef>
          </c:xVal>
          <c:yVal>
            <c:numRef>
              <c:f>Output!$E$136:$E$160</c:f>
              <c:numCache>
                <c:ptCount val="25"/>
                <c:pt idx="0">
                  <c:v>5.9308</c:v>
                </c:pt>
                <c:pt idx="1">
                  <c:v>5.309</c:v>
                </c:pt>
                <c:pt idx="2">
                  <c:v>4.864857142857143</c:v>
                </c:pt>
                <c:pt idx="3">
                  <c:v>4.53175</c:v>
                </c:pt>
                <c:pt idx="4">
                  <c:v>4.272666666666667</c:v>
                </c:pt>
                <c:pt idx="5">
                  <c:v>4.0654</c:v>
                </c:pt>
                <c:pt idx="6">
                  <c:v>3.8958181818181816</c:v>
                </c:pt>
                <c:pt idx="7">
                  <c:v>3.7545</c:v>
                </c:pt>
                <c:pt idx="8">
                  <c:v>3.634923076923077</c:v>
                </c:pt>
                <c:pt idx="9">
                  <c:v>3.5324285714285715</c:v>
                </c:pt>
                <c:pt idx="10">
                  <c:v>3.4436</c:v>
                </c:pt>
                <c:pt idx="11">
                  <c:v>3.365875</c:v>
                </c:pt>
                <c:pt idx="12">
                  <c:v>3.2972941176470587</c:v>
                </c:pt>
                <c:pt idx="13">
                  <c:v>3.2363333333333335</c:v>
                </c:pt>
                <c:pt idx="14">
                  <c:v>3.1817894736842107</c:v>
                </c:pt>
                <c:pt idx="15">
                  <c:v>3.1327</c:v>
                </c:pt>
                <c:pt idx="16">
                  <c:v>3.0882857142857145</c:v>
                </c:pt>
                <c:pt idx="17">
                  <c:v>3.047909090909091</c:v>
                </c:pt>
                <c:pt idx="18">
                  <c:v>3.0110434782608695</c:v>
                </c:pt>
                <c:pt idx="19">
                  <c:v>2.97725</c:v>
                </c:pt>
                <c:pt idx="20">
                  <c:v>2.94616</c:v>
                </c:pt>
                <c:pt idx="21">
                  <c:v>2.9174615384615383</c:v>
                </c:pt>
                <c:pt idx="22">
                  <c:v>2.890888888888889</c:v>
                </c:pt>
                <c:pt idx="23">
                  <c:v>2.866214285714286</c:v>
                </c:pt>
                <c:pt idx="24">
                  <c:v>2.843241379310345</c:v>
                </c:pt>
              </c:numCache>
            </c:numRef>
          </c:yVal>
          <c:smooth val="1"/>
        </c:ser>
        <c:ser>
          <c:idx val="1"/>
          <c:order val="1"/>
          <c:tx>
            <c:v>A1 cost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Output!$C$136:$C$160</c:f>
              <c:numCache>
                <c:ptCount val="25"/>
                <c:pt idx="0">
                  <c:v>10000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  <c:pt idx="4">
                  <c:v>18000</c:v>
                </c:pt>
                <c:pt idx="5">
                  <c:v>20000</c:v>
                </c:pt>
                <c:pt idx="6">
                  <c:v>22000</c:v>
                </c:pt>
                <c:pt idx="7">
                  <c:v>24000</c:v>
                </c:pt>
                <c:pt idx="8">
                  <c:v>26000</c:v>
                </c:pt>
                <c:pt idx="9">
                  <c:v>28000</c:v>
                </c:pt>
                <c:pt idx="10">
                  <c:v>30000</c:v>
                </c:pt>
                <c:pt idx="11">
                  <c:v>32000</c:v>
                </c:pt>
                <c:pt idx="12">
                  <c:v>34000</c:v>
                </c:pt>
                <c:pt idx="13">
                  <c:v>36000</c:v>
                </c:pt>
                <c:pt idx="14">
                  <c:v>38000</c:v>
                </c:pt>
                <c:pt idx="15">
                  <c:v>40000</c:v>
                </c:pt>
                <c:pt idx="16">
                  <c:v>42000</c:v>
                </c:pt>
                <c:pt idx="17">
                  <c:v>44000</c:v>
                </c:pt>
                <c:pt idx="18">
                  <c:v>46000</c:v>
                </c:pt>
                <c:pt idx="19">
                  <c:v>48000</c:v>
                </c:pt>
                <c:pt idx="20">
                  <c:v>50000</c:v>
                </c:pt>
                <c:pt idx="21">
                  <c:v>52000</c:v>
                </c:pt>
                <c:pt idx="22">
                  <c:v>54000</c:v>
                </c:pt>
                <c:pt idx="23">
                  <c:v>56000</c:v>
                </c:pt>
                <c:pt idx="24">
                  <c:v>58000</c:v>
                </c:pt>
              </c:numCache>
            </c:numRef>
          </c:xVal>
          <c:yVal>
            <c:numRef>
              <c:f>Output!$F$136:$F$160</c:f>
              <c:numCache>
                <c:ptCount val="25"/>
                <c:pt idx="0">
                  <c:v>10.721789152400001</c:v>
                </c:pt>
                <c:pt idx="1">
                  <c:v>8.973328960333333</c:v>
                </c:pt>
                <c:pt idx="2">
                  <c:v>7.7244288231428575</c:v>
                </c:pt>
                <c:pt idx="3">
                  <c:v>6.7877537202500005</c:v>
                </c:pt>
                <c:pt idx="4">
                  <c:v>6.059228640222223</c:v>
                </c:pt>
                <c:pt idx="5">
                  <c:v>5.4764085762</c:v>
                </c:pt>
                <c:pt idx="6">
                  <c:v>4.9995557965454545</c:v>
                </c:pt>
                <c:pt idx="7">
                  <c:v>4.602178480166668</c:v>
                </c:pt>
                <c:pt idx="8">
                  <c:v>4.265936135538462</c:v>
                </c:pt>
                <c:pt idx="9">
                  <c:v>3.977728411571429</c:v>
                </c:pt>
                <c:pt idx="10">
                  <c:v>3.7279483841333336</c:v>
                </c:pt>
                <c:pt idx="11">
                  <c:v>3.509390860125</c:v>
                </c:pt>
                <c:pt idx="12">
                  <c:v>3.3165459860000004</c:v>
                </c:pt>
                <c:pt idx="13">
                  <c:v>3.1451283201111115</c:v>
                </c:pt>
                <c:pt idx="14">
                  <c:v>2.9917546190526316</c:v>
                </c:pt>
                <c:pt idx="15">
                  <c:v>2.8537182881</c:v>
                </c:pt>
                <c:pt idx="16">
                  <c:v>2.7288282743809527</c:v>
                </c:pt>
                <c:pt idx="17">
                  <c:v>2.6152918982727273</c:v>
                </c:pt>
                <c:pt idx="18">
                  <c:v>2.5116282505217393</c:v>
                </c:pt>
                <c:pt idx="19">
                  <c:v>2.4166032400833335</c:v>
                </c:pt>
                <c:pt idx="20">
                  <c:v>2.32918023048</c:v>
                </c:pt>
                <c:pt idx="21">
                  <c:v>2.248482067769231</c:v>
                </c:pt>
                <c:pt idx="22">
                  <c:v>2.173761546740741</c:v>
                </c:pt>
                <c:pt idx="23">
                  <c:v>2.1043782057857143</c:v>
                </c:pt>
                <c:pt idx="24">
                  <c:v>2.039779922827586</c:v>
                </c:pt>
              </c:numCache>
            </c:numRef>
          </c:yVal>
          <c:smooth val="1"/>
        </c:ser>
        <c:axId val="13422801"/>
        <c:axId val="53696346"/>
      </c:scatterChart>
      <c:valAx>
        <c:axId val="1342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GJ/year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346"/>
        <c:crosses val="autoZero"/>
        <c:crossBetween val="midCat"/>
        <c:dispUnits/>
      </c:valAx>
      <c:valAx>
        <c:axId val="53696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$/GJ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228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4705"/>
          <c:w val="0.105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5</xdr:col>
      <xdr:colOff>161925</xdr:colOff>
      <xdr:row>12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04850"/>
          <a:ext cx="52673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0</xdr:rowOff>
    </xdr:from>
    <xdr:to>
      <xdr:col>17</xdr:col>
      <xdr:colOff>266700</xdr:colOff>
      <xdr:row>15</xdr:row>
      <xdr:rowOff>133350</xdr:rowOff>
    </xdr:to>
    <xdr:pic>
      <xdr:nvPicPr>
        <xdr:cNvPr id="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85875"/>
          <a:ext cx="52673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15</xdr:col>
      <xdr:colOff>209550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6134100" y="7639050"/>
        <a:ext cx="6953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75</xdr:row>
      <xdr:rowOff>28575</xdr:rowOff>
    </xdr:from>
    <xdr:to>
      <xdr:col>15</xdr:col>
      <xdr:colOff>200025</xdr:colOff>
      <xdr:row>95</xdr:row>
      <xdr:rowOff>114300</xdr:rowOff>
    </xdr:to>
    <xdr:graphicFrame>
      <xdr:nvGraphicFramePr>
        <xdr:cNvPr id="2" name="Chart 3"/>
        <xdr:cNvGraphicFramePr/>
      </xdr:nvGraphicFramePr>
      <xdr:xfrm>
        <a:off x="5867400" y="12525375"/>
        <a:ext cx="72104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15</xdr:col>
      <xdr:colOff>209550</xdr:colOff>
      <xdr:row>125</xdr:row>
      <xdr:rowOff>85725</xdr:rowOff>
    </xdr:to>
    <xdr:graphicFrame>
      <xdr:nvGraphicFramePr>
        <xdr:cNvPr id="3" name="Chart 4"/>
        <xdr:cNvGraphicFramePr/>
      </xdr:nvGraphicFramePr>
      <xdr:xfrm>
        <a:off x="6134100" y="17354550"/>
        <a:ext cx="6953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723900</xdr:colOff>
      <xdr:row>135</xdr:row>
      <xdr:rowOff>9525</xdr:rowOff>
    </xdr:from>
    <xdr:to>
      <xdr:col>15</xdr:col>
      <xdr:colOff>200025</xdr:colOff>
      <xdr:row>155</xdr:row>
      <xdr:rowOff>95250</xdr:rowOff>
    </xdr:to>
    <xdr:graphicFrame>
      <xdr:nvGraphicFramePr>
        <xdr:cNvPr id="4" name="Chart 5"/>
        <xdr:cNvGraphicFramePr/>
      </xdr:nvGraphicFramePr>
      <xdr:xfrm>
        <a:off x="5867400" y="22221825"/>
        <a:ext cx="72104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cess%20Arrangement_1_01_2010\Copy%20of%20item.p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put"/>
      <sheetName val="WACC"/>
      <sheetName val="Assets"/>
      <sheetName val="Analysis"/>
      <sheetName val="Smoothing"/>
      <sheetName val="PricePath"/>
      <sheetName val="Chart1-MAR"/>
      <sheetName val="Chart2-PricePath"/>
      <sheetName val="Chart3-BuildingBlocks"/>
    </sheetNames>
    <sheetDataSet>
      <sheetData sheetId="1">
        <row r="7">
          <cell r="C7" t="str">
            <v>Transmission lines</v>
          </cell>
          <cell r="F7">
            <v>1000</v>
          </cell>
          <cell r="H7">
            <v>30</v>
          </cell>
          <cell r="I7">
            <v>50</v>
          </cell>
        </row>
        <row r="8">
          <cell r="C8" t="str">
            <v>Substations</v>
          </cell>
          <cell r="F8">
            <v>800</v>
          </cell>
          <cell r="H8">
            <v>30</v>
          </cell>
          <cell r="I8">
            <v>50</v>
          </cell>
        </row>
        <row r="9">
          <cell r="C9" t="str">
            <v>Easements</v>
          </cell>
          <cell r="F9">
            <v>300</v>
          </cell>
          <cell r="H9" t="str">
            <v>n/a</v>
          </cell>
          <cell r="I9" t="str">
            <v>n/a</v>
          </cell>
        </row>
        <row r="10">
          <cell r="C10" t="str">
            <v> </v>
          </cell>
          <cell r="H10" t="str">
            <v>n/a</v>
          </cell>
          <cell r="I10" t="str">
            <v>n/a</v>
          </cell>
        </row>
        <row r="11">
          <cell r="H11" t="str">
            <v>n/a</v>
          </cell>
          <cell r="I11" t="str">
            <v>n/a</v>
          </cell>
        </row>
        <row r="12">
          <cell r="H12" t="str">
            <v>n/a</v>
          </cell>
          <cell r="I12" t="str">
            <v>n/a</v>
          </cell>
        </row>
        <row r="13">
          <cell r="H13" t="str">
            <v>n/a</v>
          </cell>
          <cell r="I13" t="str">
            <v>n/a</v>
          </cell>
        </row>
        <row r="14">
          <cell r="H14" t="str">
            <v>n/a</v>
          </cell>
          <cell r="I14" t="str">
            <v>n/a</v>
          </cell>
        </row>
        <row r="15">
          <cell r="H15" t="str">
            <v>n/a</v>
          </cell>
          <cell r="I15" t="str">
            <v>n/a</v>
          </cell>
        </row>
        <row r="16">
          <cell r="H16" t="str">
            <v>n/a</v>
          </cell>
          <cell r="I16" t="str">
            <v>n/a</v>
          </cell>
        </row>
        <row r="17">
          <cell r="H17" t="str">
            <v>n/a</v>
          </cell>
          <cell r="I17" t="str">
            <v>n/a</v>
          </cell>
        </row>
        <row r="18">
          <cell r="H18" t="str">
            <v>n/a</v>
          </cell>
          <cell r="I18" t="str">
            <v>n/a</v>
          </cell>
        </row>
        <row r="19">
          <cell r="H19" t="str">
            <v>n/a</v>
          </cell>
          <cell r="I19" t="str">
            <v>n/a</v>
          </cell>
        </row>
        <row r="20">
          <cell r="H20" t="str">
            <v>n/a</v>
          </cell>
          <cell r="I20" t="str">
            <v>n/a</v>
          </cell>
        </row>
        <row r="21">
          <cell r="H21" t="str">
            <v>n/a</v>
          </cell>
          <cell r="I21" t="str">
            <v>n/a</v>
          </cell>
        </row>
        <row r="22">
          <cell r="H22" t="str">
            <v>n/a</v>
          </cell>
          <cell r="I22" t="str">
            <v>n/a</v>
          </cell>
        </row>
        <row r="23">
          <cell r="H23" t="str">
            <v>n/a</v>
          </cell>
          <cell r="I23" t="str">
            <v>n/a</v>
          </cell>
        </row>
        <row r="24">
          <cell r="H24" t="str">
            <v>n/a</v>
          </cell>
          <cell r="I24" t="str">
            <v>n/a</v>
          </cell>
        </row>
        <row r="25">
          <cell r="H25" t="str">
            <v>n/a</v>
          </cell>
          <cell r="I25" t="str">
            <v>n/a</v>
          </cell>
        </row>
        <row r="26">
          <cell r="H26" t="str">
            <v>n/a</v>
          </cell>
          <cell r="I26" t="str">
            <v>n/a</v>
          </cell>
        </row>
        <row r="27">
          <cell r="F27">
            <v>2180</v>
          </cell>
        </row>
      </sheetData>
      <sheetData sheetId="2">
        <row r="30">
          <cell r="F30">
            <v>0.058988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29" sqref="N29"/>
    </sheetView>
  </sheetViews>
  <sheetFormatPr defaultColWidth="9.33203125" defaultRowHeight="12.75"/>
  <cols>
    <col min="1" max="1" width="1.83203125" style="12" customWidth="1"/>
    <col min="2" max="2" width="50.83203125" style="12" customWidth="1"/>
    <col min="3" max="3" width="12.83203125" style="93" customWidth="1"/>
    <col min="4" max="10" width="12.83203125" style="12" customWidth="1"/>
    <col min="11" max="12" width="10.5" style="12" bestFit="1" customWidth="1"/>
    <col min="13" max="16384" width="9.33203125" style="12" customWidth="1"/>
  </cols>
  <sheetData>
    <row r="1" spans="2:3" ht="12.75">
      <c r="B1" s="10"/>
      <c r="C1" s="96"/>
    </row>
    <row r="2" spans="1:10" s="80" customFormat="1" ht="15" customHeight="1">
      <c r="A2" s="77"/>
      <c r="B2" s="157" t="s">
        <v>12</v>
      </c>
      <c r="C2" s="174"/>
      <c r="D2" s="158" t="s">
        <v>23</v>
      </c>
      <c r="E2" s="158" t="s">
        <v>139</v>
      </c>
      <c r="F2" s="158" t="s">
        <v>140</v>
      </c>
      <c r="G2" s="158" t="s">
        <v>24</v>
      </c>
      <c r="H2" s="158" t="s">
        <v>25</v>
      </c>
      <c r="I2" s="158" t="s">
        <v>26</v>
      </c>
      <c r="J2" s="158" t="s">
        <v>27</v>
      </c>
    </row>
    <row r="3" spans="1:10" s="80" customFormat="1" ht="15" customHeight="1">
      <c r="A3" s="77"/>
      <c r="B3" s="157" t="s">
        <v>11</v>
      </c>
      <c r="C3" s="98"/>
      <c r="D3" s="81" t="s">
        <v>4</v>
      </c>
      <c r="E3" s="81" t="s">
        <v>4</v>
      </c>
      <c r="F3" s="81" t="s">
        <v>4</v>
      </c>
      <c r="G3" s="81" t="s">
        <v>4</v>
      </c>
      <c r="H3" s="81" t="s">
        <v>4</v>
      </c>
      <c r="I3" s="81" t="s">
        <v>4</v>
      </c>
      <c r="J3" s="81" t="s">
        <v>4</v>
      </c>
    </row>
    <row r="4" spans="2:3" s="13" customFormat="1" ht="12.75">
      <c r="B4" s="4"/>
      <c r="C4" s="99"/>
    </row>
    <row r="5" spans="2:3" s="13" customFormat="1" ht="15.75">
      <c r="B5" s="175"/>
      <c r="C5" s="99"/>
    </row>
    <row r="6" spans="2:3" s="13" customFormat="1" ht="12.75">
      <c r="B6" s="4"/>
      <c r="C6" s="99"/>
    </row>
    <row r="7" spans="2:3" s="13" customFormat="1" ht="13.5" thickBot="1">
      <c r="B7" s="4"/>
      <c r="C7" s="99"/>
    </row>
    <row r="8" spans="2:9" s="13" customFormat="1" ht="13.5" thickBot="1">
      <c r="B8" s="4"/>
      <c r="C8" s="99"/>
      <c r="G8" s="244" t="s">
        <v>158</v>
      </c>
      <c r="H8" s="245"/>
      <c r="I8" s="246"/>
    </row>
    <row r="9" spans="2:3" s="13" customFormat="1" ht="12.75">
      <c r="B9" s="4"/>
      <c r="C9" s="99"/>
    </row>
    <row r="10" spans="2:3" s="13" customFormat="1" ht="12.75">
      <c r="B10" s="4"/>
      <c r="C10" s="99"/>
    </row>
    <row r="11" spans="2:3" s="13" customFormat="1" ht="12.75">
      <c r="B11" s="4"/>
      <c r="C11" s="99"/>
    </row>
    <row r="12" spans="2:3" s="13" customFormat="1" ht="12.75">
      <c r="B12" s="4"/>
      <c r="C12" s="99"/>
    </row>
    <row r="13" spans="2:3" s="13" customFormat="1" ht="13.5" thickBot="1">
      <c r="B13" s="4"/>
      <c r="C13" s="99"/>
    </row>
    <row r="14" spans="2:10" s="13" customFormat="1" ht="41.25" customHeight="1">
      <c r="B14" s="194" t="s">
        <v>88</v>
      </c>
      <c r="C14" s="195"/>
      <c r="D14" s="196"/>
      <c r="E14" s="197"/>
      <c r="F14" s="241" t="s">
        <v>156</v>
      </c>
      <c r="G14" s="242"/>
      <c r="H14" s="242"/>
      <c r="I14" s="242"/>
      <c r="J14" s="243"/>
    </row>
    <row r="15" spans="2:10" s="13" customFormat="1" ht="12.75">
      <c r="B15" s="198" t="s">
        <v>51</v>
      </c>
      <c r="C15" s="94"/>
      <c r="D15" s="5"/>
      <c r="E15" s="199"/>
      <c r="F15" s="176"/>
      <c r="G15" s="177"/>
      <c r="H15" s="177"/>
      <c r="I15" s="177"/>
      <c r="J15" s="178"/>
    </row>
    <row r="16" spans="2:10" s="13" customFormat="1" ht="12.75">
      <c r="B16" s="200" t="s">
        <v>101</v>
      </c>
      <c r="C16" s="94" t="s">
        <v>38</v>
      </c>
      <c r="D16" s="5"/>
      <c r="E16" s="199"/>
      <c r="F16" s="179">
        <v>46476.23</v>
      </c>
      <c r="G16" s="229"/>
      <c r="H16" s="180">
        <v>48800.04</v>
      </c>
      <c r="I16" s="180">
        <v>51240.04</v>
      </c>
      <c r="J16" s="181">
        <v>53802.04</v>
      </c>
    </row>
    <row r="17" spans="2:10" s="13" customFormat="1" ht="12.75">
      <c r="B17" s="200" t="s">
        <v>102</v>
      </c>
      <c r="C17" s="94"/>
      <c r="D17" s="5"/>
      <c r="E17" s="199"/>
      <c r="F17" s="179"/>
      <c r="G17" s="229"/>
      <c r="H17" s="180"/>
      <c r="I17" s="180"/>
      <c r="J17" s="181"/>
    </row>
    <row r="18" spans="2:10" s="13" customFormat="1" ht="12.75">
      <c r="B18" s="200" t="s">
        <v>95</v>
      </c>
      <c r="C18" s="94" t="s">
        <v>93</v>
      </c>
      <c r="D18" s="5"/>
      <c r="E18" s="199"/>
      <c r="F18" s="179">
        <v>182.86</v>
      </c>
      <c r="G18" s="229"/>
      <c r="H18" s="180">
        <v>192</v>
      </c>
      <c r="I18" s="180">
        <v>201.6</v>
      </c>
      <c r="J18" s="181">
        <v>211.68</v>
      </c>
    </row>
    <row r="19" spans="2:10" s="13" customFormat="1" ht="12.75">
      <c r="B19" s="200" t="s">
        <v>96</v>
      </c>
      <c r="C19" s="94" t="s">
        <v>93</v>
      </c>
      <c r="D19" s="5"/>
      <c r="E19" s="199"/>
      <c r="F19" s="179">
        <v>91.43</v>
      </c>
      <c r="G19" s="229"/>
      <c r="H19" s="180">
        <v>96</v>
      </c>
      <c r="I19" s="180">
        <v>100.8</v>
      </c>
      <c r="J19" s="181">
        <v>105.84</v>
      </c>
    </row>
    <row r="20" spans="2:13" s="13" customFormat="1" ht="12.75">
      <c r="B20" s="200" t="s">
        <v>103</v>
      </c>
      <c r="C20" s="94"/>
      <c r="D20" s="5"/>
      <c r="E20" s="199"/>
      <c r="F20" s="179"/>
      <c r="G20" s="229"/>
      <c r="H20" s="180"/>
      <c r="I20" s="180"/>
      <c r="J20" s="181"/>
      <c r="M20" s="102"/>
    </row>
    <row r="21" spans="2:10" s="13" customFormat="1" ht="12.75">
      <c r="B21" s="200" t="s">
        <v>95</v>
      </c>
      <c r="C21" s="94" t="s">
        <v>93</v>
      </c>
      <c r="D21" s="5"/>
      <c r="E21" s="199"/>
      <c r="F21" s="182">
        <v>0.0446</v>
      </c>
      <c r="G21" s="230"/>
      <c r="H21" s="183">
        <v>0.04683</v>
      </c>
      <c r="I21" s="183">
        <v>0.04917</v>
      </c>
      <c r="J21" s="184">
        <v>0.05163</v>
      </c>
    </row>
    <row r="22" spans="2:10" s="13" customFormat="1" ht="12.75">
      <c r="B22" s="200" t="s">
        <v>96</v>
      </c>
      <c r="C22" s="94" t="s">
        <v>93</v>
      </c>
      <c r="D22" s="5"/>
      <c r="E22" s="199"/>
      <c r="F22" s="182">
        <v>0.0223</v>
      </c>
      <c r="G22" s="230"/>
      <c r="H22" s="183">
        <v>0.02342</v>
      </c>
      <c r="I22" s="183">
        <v>0.02459</v>
      </c>
      <c r="J22" s="184">
        <v>0.02582</v>
      </c>
    </row>
    <row r="23" spans="2:10" s="13" customFormat="1" ht="12.75">
      <c r="B23" s="201"/>
      <c r="C23" s="94"/>
      <c r="D23" s="5"/>
      <c r="E23" s="199"/>
      <c r="F23" s="185"/>
      <c r="G23" s="231"/>
      <c r="H23" s="186"/>
      <c r="I23" s="186"/>
      <c r="J23" s="187"/>
    </row>
    <row r="24" spans="2:10" s="13" customFormat="1" ht="12.75">
      <c r="B24" s="201" t="s">
        <v>52</v>
      </c>
      <c r="C24" s="94"/>
      <c r="D24" s="5"/>
      <c r="E24" s="199"/>
      <c r="F24" s="185"/>
      <c r="G24" s="231"/>
      <c r="H24" s="186"/>
      <c r="I24" s="186"/>
      <c r="J24" s="187"/>
    </row>
    <row r="25" spans="2:10" s="13" customFormat="1" ht="12.75">
      <c r="B25" s="198" t="s">
        <v>101</v>
      </c>
      <c r="C25" s="94" t="s">
        <v>38</v>
      </c>
      <c r="D25" s="5"/>
      <c r="E25" s="199"/>
      <c r="F25" s="179">
        <v>34115</v>
      </c>
      <c r="G25" s="229"/>
      <c r="H25" s="180">
        <v>35820.75</v>
      </c>
      <c r="I25" s="180">
        <v>37611.79</v>
      </c>
      <c r="J25" s="181">
        <v>39492.38</v>
      </c>
    </row>
    <row r="26" spans="2:10" s="13" customFormat="1" ht="12.75">
      <c r="B26" s="198" t="s">
        <v>103</v>
      </c>
      <c r="C26" s="94" t="s">
        <v>7</v>
      </c>
      <c r="D26" s="5"/>
      <c r="E26" s="199"/>
      <c r="F26" s="188">
        <v>2.2</v>
      </c>
      <c r="G26" s="231"/>
      <c r="H26" s="189">
        <v>2.31</v>
      </c>
      <c r="I26" s="189">
        <v>2.43</v>
      </c>
      <c r="J26" s="190">
        <v>2.55</v>
      </c>
    </row>
    <row r="27" spans="2:10" s="13" customFormat="1" ht="12.75">
      <c r="B27" s="201"/>
      <c r="C27" s="94"/>
      <c r="D27" s="5"/>
      <c r="E27" s="199"/>
      <c r="F27" s="185"/>
      <c r="G27" s="231"/>
      <c r="H27" s="186"/>
      <c r="I27" s="186"/>
      <c r="J27" s="187"/>
    </row>
    <row r="28" spans="2:10" s="13" customFormat="1" ht="12.75">
      <c r="B28" s="201" t="s">
        <v>53</v>
      </c>
      <c r="C28" s="94"/>
      <c r="D28" s="5"/>
      <c r="E28" s="199"/>
      <c r="F28" s="185"/>
      <c r="G28" s="231"/>
      <c r="H28" s="186"/>
      <c r="I28" s="186"/>
      <c r="J28" s="187"/>
    </row>
    <row r="29" spans="2:10" s="13" customFormat="1" ht="12.75">
      <c r="B29" s="198" t="s">
        <v>101</v>
      </c>
      <c r="C29" s="94" t="s">
        <v>38</v>
      </c>
      <c r="D29" s="5"/>
      <c r="E29" s="199"/>
      <c r="F29" s="179">
        <v>1165.5</v>
      </c>
      <c r="G29" s="229"/>
      <c r="H29" s="180">
        <v>1223.78</v>
      </c>
      <c r="I29" s="180">
        <v>1284.97</v>
      </c>
      <c r="J29" s="181">
        <v>1349.22</v>
      </c>
    </row>
    <row r="30" spans="2:10" s="13" customFormat="1" ht="12.75">
      <c r="B30" s="198" t="s">
        <v>103</v>
      </c>
      <c r="C30" s="94" t="s">
        <v>7</v>
      </c>
      <c r="D30" s="5"/>
      <c r="E30" s="199"/>
      <c r="F30" s="188">
        <v>5.34</v>
      </c>
      <c r="G30" s="231"/>
      <c r="H30" s="189">
        <v>5.61</v>
      </c>
      <c r="I30" s="189">
        <v>5.89</v>
      </c>
      <c r="J30" s="190">
        <v>6.18</v>
      </c>
    </row>
    <row r="31" spans="2:10" s="13" customFormat="1" ht="12.75">
      <c r="B31" s="201"/>
      <c r="C31" s="94"/>
      <c r="D31" s="5"/>
      <c r="E31" s="199"/>
      <c r="F31" s="185"/>
      <c r="G31" s="231"/>
      <c r="H31" s="186"/>
      <c r="I31" s="186"/>
      <c r="J31" s="187"/>
    </row>
    <row r="32" spans="2:10" s="13" customFormat="1" ht="12.75">
      <c r="B32" s="201" t="s">
        <v>54</v>
      </c>
      <c r="C32" s="94"/>
      <c r="D32" s="5"/>
      <c r="E32" s="199"/>
      <c r="F32" s="185"/>
      <c r="G32" s="231"/>
      <c r="H32" s="186"/>
      <c r="I32" s="186"/>
      <c r="J32" s="187"/>
    </row>
    <row r="33" spans="2:10" s="13" customFormat="1" ht="12.75">
      <c r="B33" s="198" t="s">
        <v>101</v>
      </c>
      <c r="C33" s="94" t="s">
        <v>38</v>
      </c>
      <c r="D33" s="5"/>
      <c r="E33" s="199"/>
      <c r="F33" s="179">
        <v>270</v>
      </c>
      <c r="G33" s="229"/>
      <c r="H33" s="180">
        <v>283.5</v>
      </c>
      <c r="I33" s="180">
        <v>297.68</v>
      </c>
      <c r="J33" s="181">
        <v>312.56</v>
      </c>
    </row>
    <row r="34" spans="2:10" s="13" customFormat="1" ht="12.75">
      <c r="B34" s="198" t="s">
        <v>103</v>
      </c>
      <c r="C34" s="94" t="s">
        <v>7</v>
      </c>
      <c r="D34" s="5"/>
      <c r="E34" s="199"/>
      <c r="F34" s="188">
        <v>7</v>
      </c>
      <c r="G34" s="231"/>
      <c r="H34" s="189">
        <v>7.35</v>
      </c>
      <c r="I34" s="189">
        <v>7.72</v>
      </c>
      <c r="J34" s="190">
        <v>8.11</v>
      </c>
    </row>
    <row r="35" spans="2:10" s="13" customFormat="1" ht="12.75">
      <c r="B35" s="201"/>
      <c r="C35" s="94"/>
      <c r="D35" s="5"/>
      <c r="E35" s="199"/>
      <c r="F35" s="185"/>
      <c r="G35" s="231"/>
      <c r="H35" s="186"/>
      <c r="I35" s="186"/>
      <c r="J35" s="187"/>
    </row>
    <row r="36" spans="2:10" s="13" customFormat="1" ht="12.75">
      <c r="B36" s="201" t="s">
        <v>55</v>
      </c>
      <c r="C36" s="94"/>
      <c r="D36" s="5"/>
      <c r="E36" s="199"/>
      <c r="F36" s="185"/>
      <c r="G36" s="231"/>
      <c r="H36" s="186"/>
      <c r="I36" s="186"/>
      <c r="J36" s="187"/>
    </row>
    <row r="37" spans="2:10" s="13" customFormat="1" ht="12.75">
      <c r="B37" s="198" t="s">
        <v>101</v>
      </c>
      <c r="C37" s="94" t="s">
        <v>38</v>
      </c>
      <c r="D37" s="5"/>
      <c r="E37" s="199"/>
      <c r="F37" s="179">
        <v>70</v>
      </c>
      <c r="G37" s="229"/>
      <c r="H37" s="180">
        <v>72.8</v>
      </c>
      <c r="I37" s="180">
        <v>77.9</v>
      </c>
      <c r="J37" s="181">
        <v>83.35</v>
      </c>
    </row>
    <row r="38" spans="2:10" s="13" customFormat="1" ht="13.5" thickBot="1">
      <c r="B38" s="202" t="s">
        <v>103</v>
      </c>
      <c r="C38" s="203" t="s">
        <v>7</v>
      </c>
      <c r="D38" s="204"/>
      <c r="E38" s="205"/>
      <c r="F38" s="191">
        <v>9.5</v>
      </c>
      <c r="G38" s="232"/>
      <c r="H38" s="192">
        <v>9.88</v>
      </c>
      <c r="I38" s="192">
        <v>10.57</v>
      </c>
      <c r="J38" s="193">
        <v>11.31</v>
      </c>
    </row>
    <row r="39" s="13" customFormat="1" ht="12.75">
      <c r="C39" s="101"/>
    </row>
    <row r="40" spans="1:3" s="30" customFormat="1" ht="12.75">
      <c r="A40" s="13"/>
      <c r="C40" s="117"/>
    </row>
  </sheetData>
  <mergeCells count="2">
    <mergeCell ref="F14:J14"/>
    <mergeCell ref="G8:I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ord.Document.8" shapeId="697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26" sqref="L126"/>
    </sheetView>
  </sheetViews>
  <sheetFormatPr defaultColWidth="9.33203125" defaultRowHeight="12.75"/>
  <cols>
    <col min="1" max="1" width="1.83203125" style="12" customWidth="1"/>
    <col min="2" max="2" width="50.83203125" style="12" customWidth="1"/>
    <col min="3" max="3" width="12.83203125" style="93" customWidth="1"/>
    <col min="4" max="4" width="5.83203125" style="93" customWidth="1"/>
    <col min="5" max="12" width="12.83203125" style="12" customWidth="1"/>
    <col min="13" max="14" width="10.5" style="12" bestFit="1" customWidth="1"/>
    <col min="15" max="16384" width="9.33203125" style="12" customWidth="1"/>
  </cols>
  <sheetData>
    <row r="1" spans="2:5" ht="12.75">
      <c r="B1" s="10"/>
      <c r="C1" s="96"/>
      <c r="D1" s="96"/>
      <c r="E1" s="29"/>
    </row>
    <row r="2" spans="1:12" s="80" customFormat="1" ht="15" customHeight="1">
      <c r="A2" s="77"/>
      <c r="B2" s="78" t="s">
        <v>12</v>
      </c>
      <c r="C2" s="97"/>
      <c r="D2" s="97"/>
      <c r="E2" s="79">
        <v>2009</v>
      </c>
      <c r="F2" s="79" t="s">
        <v>23</v>
      </c>
      <c r="G2" s="79" t="s">
        <v>139</v>
      </c>
      <c r="H2" s="79" t="s">
        <v>140</v>
      </c>
      <c r="I2" s="79" t="s">
        <v>24</v>
      </c>
      <c r="J2" s="79" t="s">
        <v>25</v>
      </c>
      <c r="K2" s="79" t="s">
        <v>26</v>
      </c>
      <c r="L2" s="79" t="s">
        <v>27</v>
      </c>
    </row>
    <row r="3" spans="1:12" s="80" customFormat="1" ht="15" customHeight="1">
      <c r="A3" s="77"/>
      <c r="B3" s="78" t="s">
        <v>11</v>
      </c>
      <c r="C3" s="98"/>
      <c r="D3" s="98"/>
      <c r="E3" s="81" t="s">
        <v>4</v>
      </c>
      <c r="F3" s="81" t="s">
        <v>4</v>
      </c>
      <c r="G3" s="81" t="s">
        <v>4</v>
      </c>
      <c r="H3" s="81" t="s">
        <v>4</v>
      </c>
      <c r="I3" s="81" t="s">
        <v>4</v>
      </c>
      <c r="J3" s="81" t="s">
        <v>4</v>
      </c>
      <c r="K3" s="81" t="s">
        <v>4</v>
      </c>
      <c r="L3" s="81" t="s">
        <v>4</v>
      </c>
    </row>
    <row r="4" spans="2:7" s="13" customFormat="1" ht="20.25" customHeight="1">
      <c r="B4" s="4"/>
      <c r="C4" s="99"/>
      <c r="D4" s="99"/>
      <c r="E4" s="247" t="s">
        <v>158</v>
      </c>
      <c r="F4" s="247"/>
      <c r="G4" s="247"/>
    </row>
    <row r="5" spans="2:5" s="13" customFormat="1" ht="12.75">
      <c r="B5" s="11"/>
      <c r="C5" s="100"/>
      <c r="D5" s="100"/>
      <c r="E5" s="15"/>
    </row>
    <row r="6" spans="2:12" s="13" customFormat="1" ht="12.75">
      <c r="B6" s="11" t="s">
        <v>9</v>
      </c>
      <c r="C6" s="100"/>
      <c r="D6" s="100"/>
      <c r="E6" s="15"/>
      <c r="F6" s="73">
        <v>181</v>
      </c>
      <c r="G6" s="73"/>
      <c r="H6" s="73"/>
      <c r="I6" s="73">
        <v>365</v>
      </c>
      <c r="J6" s="73">
        <v>366</v>
      </c>
      <c r="K6" s="74">
        <v>365</v>
      </c>
      <c r="L6" s="74">
        <v>365</v>
      </c>
    </row>
    <row r="7" spans="2:5" s="13" customFormat="1" ht="12.75">
      <c r="B7" s="11"/>
      <c r="C7" s="100"/>
      <c r="D7" s="100"/>
      <c r="E7" s="15"/>
    </row>
    <row r="8" spans="2:4" s="13" customFormat="1" ht="12.75">
      <c r="B8" s="11" t="s">
        <v>13</v>
      </c>
      <c r="C8" s="101"/>
      <c r="D8" s="101"/>
    </row>
    <row r="9" spans="2:4" s="13" customFormat="1" ht="12.75">
      <c r="B9" s="67" t="s">
        <v>49</v>
      </c>
      <c r="C9" s="101"/>
      <c r="D9" s="101"/>
    </row>
    <row r="10" spans="2:4" s="13" customFormat="1" ht="12.75">
      <c r="B10" s="11"/>
      <c r="C10" s="101"/>
      <c r="D10" s="101"/>
    </row>
    <row r="11" spans="2:15" s="13" customFormat="1" ht="12.75">
      <c r="B11" s="12" t="s">
        <v>0</v>
      </c>
      <c r="C11" s="25"/>
      <c r="D11" s="25"/>
      <c r="E11" s="15"/>
      <c r="F11" s="72">
        <v>0.0247</v>
      </c>
      <c r="G11" s="72"/>
      <c r="H11" s="72"/>
      <c r="J11" s="14"/>
      <c r="K11" s="14"/>
      <c r="L11" s="14"/>
      <c r="M11" s="14"/>
      <c r="N11" s="14"/>
      <c r="O11" s="14"/>
    </row>
    <row r="12" spans="2:15" s="13" customFormat="1" ht="12.75">
      <c r="B12" s="12"/>
      <c r="C12" s="25"/>
      <c r="D12" s="25"/>
      <c r="E12" s="15"/>
      <c r="J12" s="14"/>
      <c r="K12" s="14"/>
      <c r="L12" s="14"/>
      <c r="M12" s="14"/>
      <c r="N12" s="14"/>
      <c r="O12" s="14"/>
    </row>
    <row r="13" spans="2:15" s="13" customFormat="1" ht="12.75">
      <c r="B13" s="12" t="s">
        <v>14</v>
      </c>
      <c r="C13" s="25"/>
      <c r="D13" s="25"/>
      <c r="E13" s="15"/>
      <c r="F13" s="72">
        <v>0.111</v>
      </c>
      <c r="G13" s="16"/>
      <c r="H13" s="16"/>
      <c r="J13" s="14"/>
      <c r="K13" s="14"/>
      <c r="L13" s="14"/>
      <c r="M13" s="14"/>
      <c r="N13" s="14"/>
      <c r="O13" s="14"/>
    </row>
    <row r="14" spans="2:15" s="13" customFormat="1" ht="12.75">
      <c r="B14" s="12"/>
      <c r="C14" s="25"/>
      <c r="D14" s="25"/>
      <c r="E14" s="15"/>
      <c r="J14" s="14"/>
      <c r="K14" s="14"/>
      <c r="L14" s="14"/>
      <c r="M14" s="14"/>
      <c r="N14" s="14"/>
      <c r="O14" s="14"/>
    </row>
    <row r="15" spans="2:15" s="13" customFormat="1" ht="12.75">
      <c r="B15" s="2" t="s">
        <v>15</v>
      </c>
      <c r="C15" s="102"/>
      <c r="D15" s="102"/>
      <c r="E15" s="38"/>
      <c r="F15" s="38"/>
      <c r="G15" s="38"/>
      <c r="H15" s="38"/>
      <c r="I15" s="38"/>
      <c r="J15" s="38"/>
      <c r="K15" s="38"/>
      <c r="L15" s="38"/>
      <c r="M15" s="7"/>
      <c r="N15" s="14"/>
      <c r="O15" s="14"/>
    </row>
    <row r="16" spans="2:15" s="13" customFormat="1" ht="12.75">
      <c r="B16" s="2"/>
      <c r="C16" s="25"/>
      <c r="D16" s="25"/>
      <c r="E16" s="38"/>
      <c r="F16" s="38"/>
      <c r="G16" s="38"/>
      <c r="H16" s="233"/>
      <c r="I16" s="38"/>
      <c r="J16" s="38"/>
      <c r="K16" s="38"/>
      <c r="L16" s="38"/>
      <c r="M16" s="7"/>
      <c r="N16" s="14"/>
      <c r="O16" s="14"/>
    </row>
    <row r="17" spans="2:15" s="13" customFormat="1" ht="12.75">
      <c r="B17" s="12" t="s">
        <v>86</v>
      </c>
      <c r="C17" s="25"/>
      <c r="D17" s="25"/>
      <c r="E17" s="38"/>
      <c r="F17" s="38"/>
      <c r="G17" s="38"/>
      <c r="H17" s="38"/>
      <c r="I17" s="38"/>
      <c r="J17" s="38"/>
      <c r="K17" s="38"/>
      <c r="L17" s="38"/>
      <c r="M17" s="7"/>
      <c r="N17" s="14"/>
      <c r="O17" s="14"/>
    </row>
    <row r="18" spans="2:15" s="13" customFormat="1" ht="12.75">
      <c r="B18" s="12" t="s">
        <v>83</v>
      </c>
      <c r="C18" s="25"/>
      <c r="D18" s="25"/>
      <c r="E18" s="38"/>
      <c r="F18" s="38"/>
      <c r="G18" s="38"/>
      <c r="H18" s="38"/>
      <c r="I18" s="38"/>
      <c r="J18" s="38"/>
      <c r="K18" s="38"/>
      <c r="L18" s="38"/>
      <c r="M18" s="7"/>
      <c r="N18" s="14"/>
      <c r="O18" s="14"/>
    </row>
    <row r="19" spans="2:12" s="13" customFormat="1" ht="12.75">
      <c r="B19" s="17" t="s">
        <v>16</v>
      </c>
      <c r="C19" s="25"/>
      <c r="D19" s="25"/>
      <c r="E19" s="18">
        <v>169.39688969989973</v>
      </c>
      <c r="F19" s="18">
        <v>169.39688969989973</v>
      </c>
      <c r="G19" s="18"/>
      <c r="H19" s="18"/>
      <c r="I19" s="18">
        <f>F19*(1+$F$11)</f>
        <v>173.58099287548725</v>
      </c>
      <c r="J19" s="18">
        <f>I19*(1+$F$11)</f>
        <v>177.8684433995118</v>
      </c>
      <c r="K19" s="18">
        <f>J19*(1+$F$11)</f>
        <v>182.26179395147972</v>
      </c>
      <c r="L19" s="18">
        <f>K19*(1+$F$11)</f>
        <v>186.76366026208126</v>
      </c>
    </row>
    <row r="20" spans="2:12" s="13" customFormat="1" ht="12.75">
      <c r="B20" s="12" t="s">
        <v>56</v>
      </c>
      <c r="C20" s="103"/>
      <c r="D20" s="103"/>
      <c r="E20" s="20">
        <v>1</v>
      </c>
      <c r="F20" s="19">
        <v>1</v>
      </c>
      <c r="G20" s="19"/>
      <c r="H20" s="19"/>
      <c r="I20" s="20">
        <f>$E19/I19</f>
        <v>0.9758953840148336</v>
      </c>
      <c r="J20" s="20">
        <f>$E19/J19</f>
        <v>0.9523718005414595</v>
      </c>
      <c r="K20" s="20">
        <f>$E19/K19</f>
        <v>0.9294152440143063</v>
      </c>
      <c r="L20" s="20">
        <f>$E19/L19</f>
        <v>0.9070120464665817</v>
      </c>
    </row>
    <row r="21" spans="2:12" s="13" customFormat="1" ht="12.75">
      <c r="B21" s="17" t="s">
        <v>17</v>
      </c>
      <c r="C21" s="104"/>
      <c r="D21" s="104"/>
      <c r="E21" s="234">
        <v>167.4</v>
      </c>
      <c r="F21" s="18">
        <v>171.53477999999998</v>
      </c>
      <c r="G21" s="18"/>
      <c r="H21" s="18"/>
      <c r="I21" s="18">
        <f>F21*(1+$F$11)</f>
        <v>175.77168906599996</v>
      </c>
      <c r="J21" s="18">
        <f>I21*(1+$F$11)</f>
        <v>180.11324978593015</v>
      </c>
      <c r="K21" s="18">
        <f>J21*(1+$F$11)</f>
        <v>184.5620470556426</v>
      </c>
      <c r="L21" s="18">
        <f>K21*(1+$F$11)</f>
        <v>189.12072961791696</v>
      </c>
    </row>
    <row r="22" spans="2:12" s="13" customFormat="1" ht="12.75">
      <c r="B22" s="12" t="s">
        <v>146</v>
      </c>
      <c r="C22" s="103"/>
      <c r="D22" s="103"/>
      <c r="E22" s="164">
        <v>1.0119288512538813</v>
      </c>
      <c r="F22" s="20">
        <v>0.987536694890096</v>
      </c>
      <c r="G22" s="20"/>
      <c r="H22" s="20"/>
      <c r="I22" s="20">
        <f>$E19/I21</f>
        <v>0.9637325020885099</v>
      </c>
      <c r="J22" s="20">
        <f>$E19/J21</f>
        <v>0.9405021002132429</v>
      </c>
      <c r="K22" s="20">
        <f>$E19/K21</f>
        <v>0.9178316582543603</v>
      </c>
      <c r="L22" s="20">
        <f>$E19/L21</f>
        <v>0.8957076785931105</v>
      </c>
    </row>
    <row r="23" spans="3:9" s="13" customFormat="1" ht="12.75">
      <c r="C23" s="25"/>
      <c r="D23" s="25"/>
      <c r="E23" s="39"/>
      <c r="I23" s="3"/>
    </row>
    <row r="24" spans="2:9" s="13" customFormat="1" ht="12.75">
      <c r="B24" s="9" t="s">
        <v>148</v>
      </c>
      <c r="C24" s="25"/>
      <c r="D24" s="25"/>
      <c r="E24" s="39"/>
      <c r="I24" s="3"/>
    </row>
    <row r="25" spans="2:9" s="13" customFormat="1" ht="12.75">
      <c r="B25" s="42" t="s">
        <v>72</v>
      </c>
      <c r="C25" s="25"/>
      <c r="D25" s="25"/>
      <c r="E25" s="39"/>
      <c r="I25" s="3"/>
    </row>
    <row r="26" spans="2:9" s="13" customFormat="1" ht="12.75">
      <c r="B26" s="9"/>
      <c r="C26" s="25"/>
      <c r="D26" s="25"/>
      <c r="E26" s="39"/>
      <c r="I26" s="3"/>
    </row>
    <row r="27" spans="2:12" ht="12.75">
      <c r="B27" s="27" t="s">
        <v>33</v>
      </c>
      <c r="E27"/>
      <c r="F27" s="71">
        <v>52</v>
      </c>
      <c r="G27" s="71">
        <v>55</v>
      </c>
      <c r="H27" s="71">
        <v>56.5</v>
      </c>
      <c r="I27" s="71">
        <v>55.5</v>
      </c>
      <c r="J27" s="71">
        <v>58</v>
      </c>
      <c r="K27" s="71">
        <v>59</v>
      </c>
      <c r="L27" s="71">
        <v>59</v>
      </c>
    </row>
    <row r="28" spans="2:12" ht="12.75">
      <c r="B28" s="27" t="s">
        <v>34</v>
      </c>
      <c r="E28"/>
      <c r="F28" s="71">
        <v>94</v>
      </c>
      <c r="G28" s="71">
        <v>94</v>
      </c>
      <c r="H28" s="71">
        <v>95.5</v>
      </c>
      <c r="I28" s="71">
        <v>95.5</v>
      </c>
      <c r="J28" s="71">
        <v>98.5</v>
      </c>
      <c r="K28" s="71">
        <v>101.5</v>
      </c>
      <c r="L28" s="71">
        <v>104.5</v>
      </c>
    </row>
    <row r="29" spans="2:12" ht="12.75">
      <c r="B29" s="27" t="s">
        <v>36</v>
      </c>
      <c r="E29"/>
      <c r="F29" s="71">
        <v>1220.9202742404832</v>
      </c>
      <c r="G29" s="71">
        <v>1232.8565961179497</v>
      </c>
      <c r="H29" s="71">
        <v>1231.6065961179497</v>
      </c>
      <c r="I29" s="71">
        <v>1232.247650431049</v>
      </c>
      <c r="J29" s="71">
        <v>1235.097650431049</v>
      </c>
      <c r="K29" s="71">
        <v>1252.3476504310493</v>
      </c>
      <c r="L29" s="71">
        <v>1279.147650431049</v>
      </c>
    </row>
    <row r="30" spans="2:12" ht="12.75">
      <c r="B30" s="27" t="s">
        <v>37</v>
      </c>
      <c r="E30"/>
      <c r="F30" s="71">
        <v>7587.636539554122</v>
      </c>
      <c r="G30" s="71">
        <v>7643.903578699019</v>
      </c>
      <c r="H30" s="71">
        <v>7607.753578699018</v>
      </c>
      <c r="I30" s="71">
        <v>7626.2928694338425</v>
      </c>
      <c r="J30" s="71">
        <v>7614.142869433843</v>
      </c>
      <c r="K30" s="71">
        <v>7762.392869433843</v>
      </c>
      <c r="L30" s="71">
        <v>8018.592869433844</v>
      </c>
    </row>
    <row r="31" spans="2:12" ht="12.75">
      <c r="B31" s="27" t="s">
        <v>35</v>
      </c>
      <c r="E31"/>
      <c r="F31" s="71">
        <v>600307.7135700602</v>
      </c>
      <c r="G31" s="71">
        <v>607224.7138668476</v>
      </c>
      <c r="H31" s="71">
        <v>614175.6958951202</v>
      </c>
      <c r="I31" s="71">
        <v>610610.9302875217</v>
      </c>
      <c r="J31" s="71">
        <v>625297.7253784842</v>
      </c>
      <c r="K31" s="71">
        <v>641667.829791975</v>
      </c>
      <c r="L31" s="71">
        <v>659771.3923161398</v>
      </c>
    </row>
    <row r="32" spans="3:12" s="13" customFormat="1" ht="12.75">
      <c r="C32" s="25"/>
      <c r="D32" s="25"/>
      <c r="E32" s="64"/>
      <c r="F32" s="65"/>
      <c r="G32" s="65"/>
      <c r="H32" s="65"/>
      <c r="I32" s="66"/>
      <c r="J32" s="65"/>
      <c r="K32" s="65"/>
      <c r="L32" s="65"/>
    </row>
    <row r="33" spans="3:12" s="13" customFormat="1" ht="12.75">
      <c r="C33" s="25"/>
      <c r="D33" s="25"/>
      <c r="E33" s="63"/>
      <c r="F33" s="63">
        <f aca="true" t="shared" si="0" ref="F33:L33">SUM(F27:F32)</f>
        <v>609262.2703838549</v>
      </c>
      <c r="G33" s="63">
        <f>SUM(G27:G32)</f>
        <v>616250.4740416645</v>
      </c>
      <c r="H33" s="63">
        <f>SUM(H27:H32)</f>
        <v>623167.0560699371</v>
      </c>
      <c r="I33" s="63">
        <f t="shared" si="0"/>
        <v>619620.4708073866</v>
      </c>
      <c r="J33" s="63">
        <f t="shared" si="0"/>
        <v>634303.4658983492</v>
      </c>
      <c r="K33" s="63">
        <f t="shared" si="0"/>
        <v>650843.0703118399</v>
      </c>
      <c r="L33" s="63">
        <f t="shared" si="0"/>
        <v>669232.6328360047</v>
      </c>
    </row>
    <row r="34" spans="3:9" s="13" customFormat="1" ht="12.75">
      <c r="C34" s="25"/>
      <c r="D34" s="25"/>
      <c r="E34" s="39"/>
      <c r="I34" s="3"/>
    </row>
    <row r="35" spans="2:9" s="13" customFormat="1" ht="12.75">
      <c r="B35" s="9"/>
      <c r="C35" s="25"/>
      <c r="D35" s="25"/>
      <c r="E35" s="39"/>
      <c r="I35" s="3"/>
    </row>
    <row r="36" spans="2:9" s="13" customFormat="1" ht="12.75">
      <c r="B36" s="9" t="s">
        <v>147</v>
      </c>
      <c r="C36" s="25"/>
      <c r="D36" s="25"/>
      <c r="E36" s="39"/>
      <c r="I36" s="3"/>
    </row>
    <row r="37" spans="2:9" s="13" customFormat="1" ht="12.75">
      <c r="B37" s="9"/>
      <c r="C37" s="25"/>
      <c r="D37" s="25"/>
      <c r="E37" s="39"/>
      <c r="I37" s="3"/>
    </row>
    <row r="38" spans="2:12" s="13" customFormat="1" ht="12.75">
      <c r="B38" s="13" t="s">
        <v>33</v>
      </c>
      <c r="C38" s="93" t="s">
        <v>6</v>
      </c>
      <c r="D38" s="93"/>
      <c r="E38" s="39"/>
      <c r="F38" s="71">
        <v>3088.990698964759</v>
      </c>
      <c r="G38" s="71">
        <v>3451.3098140614657</v>
      </c>
      <c r="H38" s="71">
        <v>3688.675930889849</v>
      </c>
      <c r="I38" s="71">
        <v>7139.985744951317</v>
      </c>
      <c r="J38" s="71">
        <v>8348.636487432015</v>
      </c>
      <c r="K38" s="71">
        <v>8834.483903500623</v>
      </c>
      <c r="L38" s="71">
        <v>9003.333991301548</v>
      </c>
    </row>
    <row r="39" spans="2:12" s="13" customFormat="1" ht="12.75">
      <c r="B39" s="13" t="s">
        <v>34</v>
      </c>
      <c r="C39" s="93" t="s">
        <v>6</v>
      </c>
      <c r="D39" s="93"/>
      <c r="E39" s="39"/>
      <c r="F39" s="71">
        <v>881.8432151700999</v>
      </c>
      <c r="G39" s="71">
        <v>947.5334478434543</v>
      </c>
      <c r="H39" s="71">
        <v>890.2253948766597</v>
      </c>
      <c r="I39" s="71">
        <v>1837.758842720114</v>
      </c>
      <c r="J39" s="71">
        <v>1856.777644662306</v>
      </c>
      <c r="K39" s="71">
        <v>1908.2237345248936</v>
      </c>
      <c r="L39" s="71">
        <v>1952.739203895184</v>
      </c>
    </row>
    <row r="40" spans="2:12" s="13" customFormat="1" ht="12.75">
      <c r="B40" s="13" t="s">
        <v>36</v>
      </c>
      <c r="C40" s="93" t="s">
        <v>6</v>
      </c>
      <c r="D40" s="93"/>
      <c r="E40" s="39"/>
      <c r="F40" s="71">
        <v>757.1927825120049</v>
      </c>
      <c r="G40" s="71">
        <v>900.8975547350975</v>
      </c>
      <c r="H40" s="71">
        <v>777.0392548944133</v>
      </c>
      <c r="I40" s="71">
        <v>1677.936809629511</v>
      </c>
      <c r="J40" s="71">
        <v>1699.7407327331296</v>
      </c>
      <c r="K40" s="71">
        <v>1782.782449052096</v>
      </c>
      <c r="L40" s="71">
        <v>1862.378752654432</v>
      </c>
    </row>
    <row r="41" spans="2:12" s="13" customFormat="1" ht="12.75">
      <c r="B41" s="13" t="s">
        <v>37</v>
      </c>
      <c r="C41" s="93" t="s">
        <v>6</v>
      </c>
      <c r="D41" s="93"/>
      <c r="E41" s="39"/>
      <c r="F41" s="71">
        <v>550.9724978206145</v>
      </c>
      <c r="G41" s="71">
        <v>618.1867514895882</v>
      </c>
      <c r="H41" s="71">
        <v>560.3535962512345</v>
      </c>
      <c r="I41" s="71">
        <v>1178.5403477408224</v>
      </c>
      <c r="J41" s="71">
        <v>1180.018336042394</v>
      </c>
      <c r="K41" s="71">
        <v>1226.6071614644968</v>
      </c>
      <c r="L41" s="71">
        <v>1275.9075250689805</v>
      </c>
    </row>
    <row r="42" spans="2:12" s="13" customFormat="1" ht="12.75">
      <c r="B42" s="13" t="s">
        <v>35</v>
      </c>
      <c r="C42" s="93" t="s">
        <v>6</v>
      </c>
      <c r="D42" s="93"/>
      <c r="E42" s="39"/>
      <c r="F42" s="71">
        <v>4603.185174659679</v>
      </c>
      <c r="G42" s="71">
        <v>6183.682103411294</v>
      </c>
      <c r="H42" s="71">
        <v>4478.138739878901</v>
      </c>
      <c r="I42" s="71">
        <v>10661.820843290192</v>
      </c>
      <c r="J42" s="71">
        <v>10731.536187396954</v>
      </c>
      <c r="K42" s="71">
        <v>11012.486827699273</v>
      </c>
      <c r="L42" s="71">
        <v>11323.181320152364</v>
      </c>
    </row>
    <row r="43" spans="3:12" s="13" customFormat="1" ht="12.75">
      <c r="C43" s="25"/>
      <c r="D43" s="25"/>
      <c r="E43" s="61"/>
      <c r="F43" s="51"/>
      <c r="G43" s="51"/>
      <c r="H43" s="51"/>
      <c r="I43" s="62"/>
      <c r="J43" s="51"/>
      <c r="K43" s="51"/>
      <c r="L43" s="51"/>
    </row>
    <row r="44" spans="3:14" s="13" customFormat="1" ht="12.75">
      <c r="C44" s="93" t="s">
        <v>6</v>
      </c>
      <c r="D44" s="93"/>
      <c r="E44" s="39"/>
      <c r="F44" s="139">
        <f>SUM(F38:F43)</f>
        <v>9882.184369127157</v>
      </c>
      <c r="G44" s="139">
        <f aca="true" t="shared" si="1" ref="G44:L44">SUM(G38:G43)</f>
        <v>12101.6096715409</v>
      </c>
      <c r="H44" s="139">
        <f t="shared" si="1"/>
        <v>10394.432916791056</v>
      </c>
      <c r="I44" s="139">
        <f t="shared" si="1"/>
        <v>22496.042588331955</v>
      </c>
      <c r="J44" s="139">
        <f t="shared" si="1"/>
        <v>23816.709388266798</v>
      </c>
      <c r="K44" s="139">
        <f t="shared" si="1"/>
        <v>24764.584076241383</v>
      </c>
      <c r="L44" s="139">
        <f t="shared" si="1"/>
        <v>25417.54079307251</v>
      </c>
      <c r="M44" s="82"/>
      <c r="N44" s="82"/>
    </row>
    <row r="45" spans="3:12" s="13" customFormat="1" ht="12.75">
      <c r="C45" s="25"/>
      <c r="D45" s="25"/>
      <c r="E45" s="39"/>
      <c r="I45" s="140"/>
      <c r="J45" s="141"/>
      <c r="K45" s="141"/>
      <c r="L45" s="141"/>
    </row>
    <row r="46" spans="3:12" s="13" customFormat="1" ht="12.75">
      <c r="C46" s="25"/>
      <c r="D46" s="25"/>
      <c r="E46" s="39"/>
      <c r="F46" s="28"/>
      <c r="G46" s="28"/>
      <c r="H46" s="28"/>
      <c r="I46" s="28"/>
      <c r="J46" s="28"/>
      <c r="K46" s="28"/>
      <c r="L46" s="28"/>
    </row>
    <row r="47" spans="2:12" s="13" customFormat="1" ht="12.75">
      <c r="B47" s="9"/>
      <c r="C47" s="107"/>
      <c r="D47" s="107"/>
      <c r="E47" s="22"/>
      <c r="I47" s="40"/>
      <c r="L47" s="12"/>
    </row>
    <row r="48" spans="2:12" s="13" customFormat="1" ht="12.75">
      <c r="B48" s="2" t="s">
        <v>65</v>
      </c>
      <c r="C48" s="102"/>
      <c r="D48" s="102"/>
      <c r="E48" s="21"/>
      <c r="I48" s="40"/>
      <c r="L48" s="12"/>
    </row>
    <row r="49" spans="2:12" s="13" customFormat="1" ht="12.75">
      <c r="B49" s="89" t="s">
        <v>143</v>
      </c>
      <c r="C49" s="102"/>
      <c r="D49" s="102"/>
      <c r="E49" s="21"/>
      <c r="I49" s="40"/>
      <c r="L49" s="12"/>
    </row>
    <row r="50" spans="2:12" s="13" customFormat="1" ht="12.75">
      <c r="B50" s="89" t="s">
        <v>127</v>
      </c>
      <c r="C50" s="105"/>
      <c r="D50" s="105"/>
      <c r="E50" s="21"/>
      <c r="I50" s="40"/>
      <c r="L50" s="12"/>
    </row>
    <row r="51" spans="2:12" s="13" customFormat="1" ht="12.75">
      <c r="B51" s="89"/>
      <c r="C51" s="105"/>
      <c r="D51" s="105"/>
      <c r="E51" s="21"/>
      <c r="I51" s="40"/>
      <c r="L51" s="12"/>
    </row>
    <row r="52" spans="2:12" s="13" customFormat="1" ht="12.75">
      <c r="B52" s="13" t="s">
        <v>19</v>
      </c>
      <c r="C52" s="105" t="s">
        <v>21</v>
      </c>
      <c r="D52" s="105"/>
      <c r="E52" s="21"/>
      <c r="F52" s="88">
        <v>9.577067205204326</v>
      </c>
      <c r="G52" s="152"/>
      <c r="H52" s="152"/>
      <c r="I52" s="88">
        <v>4.16759412186068</v>
      </c>
      <c r="J52" s="88">
        <v>7.008404593896707</v>
      </c>
      <c r="K52" s="88">
        <v>10.662729022362477</v>
      </c>
      <c r="L52" s="88">
        <v>10.289208330585197</v>
      </c>
    </row>
    <row r="53" spans="2:12" s="13" customFormat="1" ht="12.75">
      <c r="B53" s="13" t="s">
        <v>20</v>
      </c>
      <c r="C53" s="105" t="s">
        <v>21</v>
      </c>
      <c r="D53" s="105"/>
      <c r="E53" s="21"/>
      <c r="F53" s="88">
        <v>0</v>
      </c>
      <c r="G53" s="152"/>
      <c r="H53" s="152"/>
      <c r="I53" s="88">
        <v>0</v>
      </c>
      <c r="J53" s="88">
        <v>0</v>
      </c>
      <c r="K53" s="88">
        <v>0</v>
      </c>
      <c r="L53" s="88">
        <v>0</v>
      </c>
    </row>
    <row r="54" spans="2:12" s="13" customFormat="1" ht="12.75">
      <c r="B54" s="13" t="s">
        <v>43</v>
      </c>
      <c r="C54" s="105" t="s">
        <v>21</v>
      </c>
      <c r="D54" s="105"/>
      <c r="E54" s="21"/>
      <c r="F54" s="88">
        <v>6.505190255495276</v>
      </c>
      <c r="G54" s="152"/>
      <c r="H54" s="152"/>
      <c r="I54" s="88">
        <v>12.533778181548861</v>
      </c>
      <c r="J54" s="88">
        <v>13.232441482028266</v>
      </c>
      <c r="K54" s="88">
        <v>13.67495312327625</v>
      </c>
      <c r="L54" s="88">
        <v>16.0943823687509</v>
      </c>
    </row>
    <row r="55" spans="2:12" s="13" customFormat="1" ht="12.75">
      <c r="B55" s="13" t="s">
        <v>29</v>
      </c>
      <c r="C55" s="105" t="s">
        <v>21</v>
      </c>
      <c r="D55" s="105"/>
      <c r="E55" s="21"/>
      <c r="F55" s="88">
        <v>0</v>
      </c>
      <c r="G55" s="152"/>
      <c r="H55" s="152"/>
      <c r="I55" s="88">
        <v>0</v>
      </c>
      <c r="J55" s="88">
        <v>0</v>
      </c>
      <c r="K55" s="88">
        <v>0</v>
      </c>
      <c r="L55" s="88">
        <v>0</v>
      </c>
    </row>
    <row r="56" spans="2:12" s="13" customFormat="1" ht="12.75">
      <c r="B56" s="13" t="s">
        <v>1</v>
      </c>
      <c r="C56" s="105" t="s">
        <v>21</v>
      </c>
      <c r="D56" s="105"/>
      <c r="E56" s="21"/>
      <c r="F56" s="88">
        <v>0.6681286418976522</v>
      </c>
      <c r="G56" s="152"/>
      <c r="H56" s="152"/>
      <c r="I56" s="88">
        <v>0.2610149320214558</v>
      </c>
      <c r="J56" s="88">
        <v>0.2292088605955061</v>
      </c>
      <c r="K56" s="88">
        <v>0.2668782842643022</v>
      </c>
      <c r="L56" s="88">
        <v>0.20268155746363245</v>
      </c>
    </row>
    <row r="57" spans="2:12" s="13" customFormat="1" ht="12.75">
      <c r="B57" s="13" t="s">
        <v>10</v>
      </c>
      <c r="C57" s="105" t="s">
        <v>21</v>
      </c>
      <c r="D57" s="105"/>
      <c r="E57" s="21"/>
      <c r="F57" s="88">
        <v>2.0058414526249675</v>
      </c>
      <c r="G57" s="152"/>
      <c r="H57" s="152"/>
      <c r="I57" s="88">
        <v>0.42396168506926873</v>
      </c>
      <c r="J57" s="88">
        <v>0</v>
      </c>
      <c r="K57" s="88">
        <v>0</v>
      </c>
      <c r="L57" s="88">
        <v>0</v>
      </c>
    </row>
    <row r="58" spans="2:12" s="13" customFormat="1" ht="12.75">
      <c r="B58" s="13" t="s">
        <v>8</v>
      </c>
      <c r="C58" s="105" t="s">
        <v>21</v>
      </c>
      <c r="D58" s="105"/>
      <c r="E58" s="21"/>
      <c r="F58" s="88">
        <v>0.45362944205239125</v>
      </c>
      <c r="G58" s="152"/>
      <c r="H58" s="152"/>
      <c r="I58" s="88">
        <v>2.0569073512636993</v>
      </c>
      <c r="J58" s="88">
        <v>6.690526645713807</v>
      </c>
      <c r="K58" s="88">
        <v>0</v>
      </c>
      <c r="L58" s="88">
        <v>0</v>
      </c>
    </row>
    <row r="59" spans="2:12" s="13" customFormat="1" ht="12.75">
      <c r="B59" s="13" t="s">
        <v>44</v>
      </c>
      <c r="C59" s="105" t="s">
        <v>21</v>
      </c>
      <c r="D59" s="105"/>
      <c r="E59" s="21"/>
      <c r="F59" s="88">
        <v>7.377178127412587</v>
      </c>
      <c r="H59" s="152"/>
      <c r="I59" s="88">
        <v>16.310875132045307</v>
      </c>
      <c r="J59" s="88">
        <v>18.94695334932696</v>
      </c>
      <c r="K59" s="88">
        <v>20.422267513282893</v>
      </c>
      <c r="L59" s="88">
        <v>22.579009873191733</v>
      </c>
    </row>
    <row r="60" spans="2:12" s="13" customFormat="1" ht="12.75">
      <c r="B60" s="13" t="s">
        <v>22</v>
      </c>
      <c r="C60" s="105" t="s">
        <v>21</v>
      </c>
      <c r="D60" s="105"/>
      <c r="E60" s="21"/>
      <c r="F60" s="88">
        <v>0</v>
      </c>
      <c r="G60" s="152"/>
      <c r="H60" s="152"/>
      <c r="I60" s="88">
        <v>0.6489981921613418</v>
      </c>
      <c r="J60" s="88">
        <v>0</v>
      </c>
      <c r="K60" s="88">
        <v>0</v>
      </c>
      <c r="L60" s="88">
        <v>0.6371252747162455</v>
      </c>
    </row>
    <row r="61" spans="2:12" s="13" customFormat="1" ht="12.75">
      <c r="B61" s="13" t="s">
        <v>2</v>
      </c>
      <c r="C61" s="105" t="s">
        <v>21</v>
      </c>
      <c r="D61" s="105"/>
      <c r="E61" s="21"/>
      <c r="F61" s="88">
        <v>1.4825906591253721</v>
      </c>
      <c r="G61" s="152"/>
      <c r="H61" s="152"/>
      <c r="I61" s="88">
        <v>4.599202820007058</v>
      </c>
      <c r="J61" s="88">
        <v>3.4744792069231822</v>
      </c>
      <c r="K61" s="88">
        <v>5.020799732834035</v>
      </c>
      <c r="L61" s="88">
        <v>1.6348182986634163</v>
      </c>
    </row>
    <row r="62" spans="2:12" s="13" customFormat="1" ht="12.75">
      <c r="B62" s="13" t="s">
        <v>31</v>
      </c>
      <c r="C62" s="105" t="s">
        <v>21</v>
      </c>
      <c r="D62" s="105"/>
      <c r="E62" s="21"/>
      <c r="F62" s="88">
        <v>0</v>
      </c>
      <c r="G62" s="152"/>
      <c r="H62" s="152"/>
      <c r="I62" s="88">
        <v>0</v>
      </c>
      <c r="J62" s="88">
        <v>0</v>
      </c>
      <c r="K62" s="88">
        <v>0</v>
      </c>
      <c r="L62" s="88">
        <v>0</v>
      </c>
    </row>
    <row r="63" spans="2:12" s="13" customFormat="1" ht="12.75">
      <c r="B63" s="13" t="s">
        <v>3</v>
      </c>
      <c r="C63" s="105" t="s">
        <v>21</v>
      </c>
      <c r="D63" s="105"/>
      <c r="E63" s="6"/>
      <c r="F63" s="88">
        <v>0</v>
      </c>
      <c r="G63" s="152"/>
      <c r="H63" s="152"/>
      <c r="I63" s="88">
        <v>0</v>
      </c>
      <c r="J63" s="88">
        <v>0</v>
      </c>
      <c r="K63" s="88">
        <v>0</v>
      </c>
      <c r="L63" s="88">
        <v>0</v>
      </c>
    </row>
    <row r="64" spans="3:12" s="13" customFormat="1" ht="12.75">
      <c r="C64" s="106"/>
      <c r="D64" s="106"/>
      <c r="E64" s="90"/>
      <c r="F64" s="91"/>
      <c r="G64" s="91"/>
      <c r="H64" s="91"/>
      <c r="I64" s="91"/>
      <c r="J64" s="91"/>
      <c r="K64" s="91"/>
      <c r="L64" s="91"/>
    </row>
    <row r="65" spans="3:12" s="13" customFormat="1" ht="12.75">
      <c r="C65" s="93" t="s">
        <v>21</v>
      </c>
      <c r="D65" s="93"/>
      <c r="E65" s="70"/>
      <c r="F65" s="52">
        <f>SUM(F52:F64)</f>
        <v>28.069625783812572</v>
      </c>
      <c r="G65" s="52"/>
      <c r="H65" s="52"/>
      <c r="I65" s="52">
        <f>SUM(I52:I64)</f>
        <v>41.002332415977676</v>
      </c>
      <c r="J65" s="52">
        <f>SUM(J52:J64)</f>
        <v>49.58201413848443</v>
      </c>
      <c r="K65" s="52">
        <f>SUM(K52:K64)</f>
        <v>50.04762767601996</v>
      </c>
      <c r="L65" s="52">
        <f>SUM(L52:L64)</f>
        <v>51.437225703371126</v>
      </c>
    </row>
    <row r="66" spans="2:12" s="13" customFormat="1" ht="12.75">
      <c r="B66" s="14"/>
      <c r="C66" s="108"/>
      <c r="D66" s="108"/>
      <c r="E66" s="41"/>
      <c r="F66" s="5"/>
      <c r="G66" s="5"/>
      <c r="H66" s="5"/>
      <c r="I66" s="5"/>
      <c r="J66" s="5"/>
      <c r="K66" s="5"/>
      <c r="L66" s="5"/>
    </row>
    <row r="67" spans="2:9" s="13" customFormat="1" ht="12.75">
      <c r="B67" s="2" t="s">
        <v>50</v>
      </c>
      <c r="C67" s="109"/>
      <c r="D67" s="109"/>
      <c r="E67" s="24" t="s">
        <v>28</v>
      </c>
      <c r="I67" s="3"/>
    </row>
    <row r="68" spans="2:9" s="13" customFormat="1" ht="12.75">
      <c r="B68" s="43"/>
      <c r="C68" s="110"/>
      <c r="D68" s="110"/>
      <c r="E68" s="23" t="s">
        <v>32</v>
      </c>
      <c r="I68" s="3"/>
    </row>
    <row r="69" spans="2:9" s="13" customFormat="1" ht="12.75">
      <c r="B69" s="13" t="s">
        <v>19</v>
      </c>
      <c r="C69" s="94" t="s">
        <v>30</v>
      </c>
      <c r="D69" s="94"/>
      <c r="E69" s="76">
        <v>120</v>
      </c>
      <c r="I69" s="3"/>
    </row>
    <row r="70" spans="2:9" s="13" customFormat="1" ht="12.75">
      <c r="B70" s="13" t="s">
        <v>20</v>
      </c>
      <c r="C70" s="94" t="s">
        <v>30</v>
      </c>
      <c r="D70" s="94"/>
      <c r="E70" s="76">
        <v>60</v>
      </c>
      <c r="I70" s="3"/>
    </row>
    <row r="71" spans="2:9" s="13" customFormat="1" ht="12.75">
      <c r="B71" s="13" t="s">
        <v>43</v>
      </c>
      <c r="C71" s="94" t="s">
        <v>30</v>
      </c>
      <c r="D71" s="94"/>
      <c r="E71" s="76">
        <v>60</v>
      </c>
      <c r="I71" s="3"/>
    </row>
    <row r="72" spans="2:9" s="13" customFormat="1" ht="12.75">
      <c r="B72" s="13" t="s">
        <v>29</v>
      </c>
      <c r="C72" s="94" t="s">
        <v>30</v>
      </c>
      <c r="D72" s="94"/>
      <c r="E72" s="76">
        <v>60</v>
      </c>
      <c r="I72" s="3"/>
    </row>
    <row r="73" spans="2:9" s="13" customFormat="1" ht="12.75">
      <c r="B73" s="13" t="s">
        <v>1</v>
      </c>
      <c r="C73" s="94" t="s">
        <v>30</v>
      </c>
      <c r="D73" s="94"/>
      <c r="E73" s="75">
        <v>40</v>
      </c>
      <c r="I73" s="3"/>
    </row>
    <row r="74" spans="2:9" s="13" customFormat="1" ht="12.75">
      <c r="B74" s="13" t="s">
        <v>10</v>
      </c>
      <c r="C74" s="94" t="s">
        <v>30</v>
      </c>
      <c r="D74" s="94"/>
      <c r="E74" s="75">
        <v>40</v>
      </c>
      <c r="I74" s="3"/>
    </row>
    <row r="75" spans="2:9" s="13" customFormat="1" ht="12.75">
      <c r="B75" s="13" t="s">
        <v>8</v>
      </c>
      <c r="C75" s="94" t="s">
        <v>30</v>
      </c>
      <c r="D75" s="94"/>
      <c r="E75" s="75">
        <v>40</v>
      </c>
      <c r="I75" s="3"/>
    </row>
    <row r="76" spans="2:9" s="13" customFormat="1" ht="12.75">
      <c r="B76" s="13" t="s">
        <v>44</v>
      </c>
      <c r="C76" s="94" t="s">
        <v>30</v>
      </c>
      <c r="D76" s="94"/>
      <c r="E76" s="75">
        <v>25</v>
      </c>
      <c r="I76" s="3"/>
    </row>
    <row r="77" spans="2:9" s="13" customFormat="1" ht="12.75">
      <c r="B77" s="13" t="s">
        <v>22</v>
      </c>
      <c r="C77" s="94" t="s">
        <v>30</v>
      </c>
      <c r="D77" s="94"/>
      <c r="E77" s="75">
        <v>10</v>
      </c>
      <c r="I77" s="3"/>
    </row>
    <row r="78" spans="2:9" s="13" customFormat="1" ht="12.75">
      <c r="B78" s="13" t="s">
        <v>2</v>
      </c>
      <c r="C78" s="94" t="s">
        <v>30</v>
      </c>
      <c r="D78" s="94"/>
      <c r="E78" s="75">
        <v>5</v>
      </c>
      <c r="I78" s="3"/>
    </row>
    <row r="79" spans="2:9" s="13" customFormat="1" ht="12.75">
      <c r="B79" s="13" t="s">
        <v>31</v>
      </c>
      <c r="C79" s="94" t="s">
        <v>30</v>
      </c>
      <c r="D79" s="94"/>
      <c r="E79" s="75">
        <v>5</v>
      </c>
      <c r="I79" s="3"/>
    </row>
    <row r="80" spans="2:9" s="13" customFormat="1" ht="12.75">
      <c r="B80" s="13" t="s">
        <v>3</v>
      </c>
      <c r="C80" s="94" t="s">
        <v>30</v>
      </c>
      <c r="D80" s="94"/>
      <c r="E80" s="75"/>
      <c r="I80" s="3"/>
    </row>
    <row r="81" spans="2:30" ht="12.75">
      <c r="B81" s="13"/>
      <c r="C81" s="102"/>
      <c r="D81" s="10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2:21" s="13" customFormat="1" ht="12.75">
      <c r="B82" s="11" t="s">
        <v>18</v>
      </c>
      <c r="C82" s="111"/>
      <c r="D82" s="111"/>
      <c r="E82" s="168"/>
      <c r="F82" s="168"/>
      <c r="G82" s="168"/>
      <c r="H82" s="168"/>
      <c r="I82" s="168"/>
      <c r="J82" s="168"/>
      <c r="K82" s="168"/>
      <c r="L82" s="168"/>
      <c r="M82" s="12"/>
      <c r="N82" s="12"/>
      <c r="O82" s="12"/>
      <c r="P82" s="12"/>
      <c r="Q82" s="12"/>
      <c r="R82" s="12"/>
      <c r="S82" s="12"/>
      <c r="T82" s="12"/>
      <c r="U82" s="12"/>
    </row>
    <row r="83" spans="2:21" s="13" customFormat="1" ht="12.75">
      <c r="B83" s="33" t="s">
        <v>127</v>
      </c>
      <c r="C83" s="111" t="s">
        <v>21</v>
      </c>
      <c r="D83" s="111"/>
      <c r="E83" s="235">
        <v>47.972284696208504</v>
      </c>
      <c r="F83" s="235">
        <v>36.41786240949727</v>
      </c>
      <c r="G83" s="115"/>
      <c r="H83" s="115"/>
      <c r="I83" s="235">
        <v>59.62050752714498</v>
      </c>
      <c r="J83" s="235">
        <v>59.200180589916855</v>
      </c>
      <c r="K83" s="235">
        <v>60.181844841074756</v>
      </c>
      <c r="L83" s="235">
        <v>60.7273142227138</v>
      </c>
      <c r="M83" s="12"/>
      <c r="N83" s="12"/>
      <c r="O83" s="12"/>
      <c r="P83" s="12"/>
      <c r="Q83" s="12"/>
      <c r="R83" s="12"/>
      <c r="S83" s="12"/>
      <c r="T83" s="12"/>
      <c r="U83" s="12"/>
    </row>
    <row r="84" spans="3:12" s="13" customFormat="1" ht="12.75">
      <c r="C84" s="102"/>
      <c r="D84" s="102"/>
      <c r="E84" s="32"/>
      <c r="F84" s="5"/>
      <c r="G84" s="5"/>
      <c r="H84" s="5"/>
      <c r="I84" s="32"/>
      <c r="J84" s="32"/>
      <c r="K84" s="32"/>
      <c r="L84" s="5"/>
    </row>
    <row r="85" spans="2:14" ht="12.75">
      <c r="B85" s="69" t="s">
        <v>144</v>
      </c>
      <c r="C85" s="111" t="s">
        <v>21</v>
      </c>
      <c r="D85" s="111"/>
      <c r="E85" s="165"/>
      <c r="F85" s="166">
        <v>2.179190384256631</v>
      </c>
      <c r="G85" s="166"/>
      <c r="H85" s="166"/>
      <c r="I85" s="166">
        <v>2.2482700222888568</v>
      </c>
      <c r="J85" s="166">
        <v>0.9688352775017584</v>
      </c>
      <c r="K85" s="166">
        <v>2.21095915888307</v>
      </c>
      <c r="L85" s="166">
        <v>1.3112035194135374</v>
      </c>
      <c r="M85" s="167"/>
      <c r="N85" s="32"/>
    </row>
    <row r="86" spans="5:12" ht="12.75">
      <c r="E86" s="44"/>
      <c r="F86" s="44"/>
      <c r="G86" s="44"/>
      <c r="H86" s="44"/>
      <c r="I86" s="44"/>
      <c r="J86" s="44"/>
      <c r="K86" s="44"/>
      <c r="L86" s="44"/>
    </row>
    <row r="87" spans="2:12" s="13" customFormat="1" ht="12.75">
      <c r="B87" s="11" t="s">
        <v>40</v>
      </c>
      <c r="C87" s="102"/>
      <c r="D87" s="102"/>
      <c r="E87" s="32"/>
      <c r="F87" s="5"/>
      <c r="G87" s="5"/>
      <c r="H87" s="5"/>
      <c r="I87" s="5"/>
      <c r="J87" s="32"/>
      <c r="K87" s="32"/>
      <c r="L87" s="5"/>
    </row>
    <row r="88" spans="2:12" s="13" customFormat="1" ht="12.75">
      <c r="B88" s="33" t="s">
        <v>127</v>
      </c>
      <c r="C88" s="102" t="s">
        <v>21</v>
      </c>
      <c r="D88" s="102"/>
      <c r="E88" s="12"/>
      <c r="F88" s="236">
        <v>7.76534785424588</v>
      </c>
      <c r="G88" s="52"/>
      <c r="H88" s="52"/>
      <c r="I88" s="236">
        <v>14.461825426693036</v>
      </c>
      <c r="J88" s="236">
        <v>17.908992013590364</v>
      </c>
      <c r="K88" s="236">
        <v>20.027091091413723</v>
      </c>
      <c r="L88" s="236">
        <v>22.18137867385539</v>
      </c>
    </row>
    <row r="89" spans="3:11" s="13" customFormat="1" ht="12.75">
      <c r="C89" s="102"/>
      <c r="D89" s="102"/>
      <c r="E89" s="12"/>
      <c r="I89" s="12"/>
      <c r="J89" s="12"/>
      <c r="K89" s="12"/>
    </row>
    <row r="90" spans="2:12" s="13" customFormat="1" ht="12.75">
      <c r="B90" s="9" t="s">
        <v>153</v>
      </c>
      <c r="C90" s="102"/>
      <c r="D90" s="102"/>
      <c r="E90" s="32"/>
      <c r="F90" s="5"/>
      <c r="G90" s="5"/>
      <c r="H90" s="5"/>
      <c r="I90" s="32"/>
      <c r="J90" s="32"/>
      <c r="K90" s="32"/>
      <c r="L90" s="5"/>
    </row>
    <row r="91" spans="2:12" s="13" customFormat="1" ht="12.75">
      <c r="B91" s="33" t="s">
        <v>127</v>
      </c>
      <c r="C91" s="102"/>
      <c r="D91" s="102"/>
      <c r="E91" s="32"/>
      <c r="F91" s="5"/>
      <c r="G91" s="5"/>
      <c r="H91" s="5"/>
      <c r="I91" s="32"/>
      <c r="J91" s="32"/>
      <c r="K91" s="32"/>
      <c r="L91" s="5"/>
    </row>
    <row r="92" spans="3:12" s="13" customFormat="1" ht="12.75">
      <c r="C92" s="102"/>
      <c r="D92" s="102"/>
      <c r="E92" s="32"/>
      <c r="F92" s="5"/>
      <c r="G92" s="5"/>
      <c r="H92" s="5"/>
      <c r="I92" s="32"/>
      <c r="J92" s="32"/>
      <c r="K92" s="32"/>
      <c r="L92" s="5"/>
    </row>
    <row r="93" spans="2:12" s="13" customFormat="1" ht="12.75">
      <c r="B93" s="13" t="s">
        <v>33</v>
      </c>
      <c r="C93" s="102" t="s">
        <v>21</v>
      </c>
      <c r="D93" s="102"/>
      <c r="E93" s="12"/>
      <c r="F93" s="54">
        <v>0.7407931418024327</v>
      </c>
      <c r="G93" s="55"/>
      <c r="H93" s="55"/>
      <c r="I93" s="54">
        <v>1.4419004686594132</v>
      </c>
      <c r="J93" s="54">
        <v>1.4749117537349667</v>
      </c>
      <c r="K93" s="54">
        <v>1.547099354219703</v>
      </c>
      <c r="L93" s="54">
        <v>1.5567106223867078</v>
      </c>
    </row>
    <row r="94" spans="2:12" s="13" customFormat="1" ht="12.75">
      <c r="B94" s="13" t="s">
        <v>34</v>
      </c>
      <c r="C94" s="102" t="s">
        <v>21</v>
      </c>
      <c r="D94" s="102"/>
      <c r="E94" s="12"/>
      <c r="F94" s="54">
        <v>0.23216968981459596</v>
      </c>
      <c r="G94" s="55"/>
      <c r="H94" s="55"/>
      <c r="I94" s="54">
        <v>0.4708010827036221</v>
      </c>
      <c r="J94" s="54">
        <v>0.4871170030869637</v>
      </c>
      <c r="K94" s="54">
        <v>0.5168319478682034</v>
      </c>
      <c r="L94" s="54">
        <v>0.5336972548224058</v>
      </c>
    </row>
    <row r="95" spans="2:12" s="13" customFormat="1" ht="12.75">
      <c r="B95" s="13" t="s">
        <v>36</v>
      </c>
      <c r="C95" s="102" t="s">
        <v>21</v>
      </c>
      <c r="D95" s="102"/>
      <c r="E95" s="12"/>
      <c r="F95" s="54">
        <v>0.48500444434401946</v>
      </c>
      <c r="G95" s="55"/>
      <c r="H95" s="55"/>
      <c r="I95" s="54">
        <v>1.0295486098128355</v>
      </c>
      <c r="J95" s="54">
        <v>1.0634810530040524</v>
      </c>
      <c r="K95" s="54">
        <v>1.1282873049442805</v>
      </c>
      <c r="L95" s="54">
        <v>1.1773091625513297</v>
      </c>
    </row>
    <row r="96" spans="2:12" s="13" customFormat="1" ht="12.75">
      <c r="B96" s="13" t="s">
        <v>37</v>
      </c>
      <c r="C96" s="102" t="s">
        <v>21</v>
      </c>
      <c r="D96" s="102"/>
      <c r="E96" s="12"/>
      <c r="F96" s="54">
        <v>0.39765987634905314</v>
      </c>
      <c r="G96" s="55"/>
      <c r="H96" s="55"/>
      <c r="I96" s="54">
        <v>0.861766798182325</v>
      </c>
      <c r="J96" s="54">
        <v>0.8748965482062651</v>
      </c>
      <c r="K96" s="54">
        <v>0.9692400792224948</v>
      </c>
      <c r="L96" s="54">
        <v>1.123633250669476</v>
      </c>
    </row>
    <row r="97" spans="2:12" s="13" customFormat="1" ht="12.75">
      <c r="B97" s="13" t="s">
        <v>35</v>
      </c>
      <c r="C97" s="102" t="s">
        <v>21</v>
      </c>
      <c r="D97" s="102"/>
      <c r="E97" s="12"/>
      <c r="F97" s="54">
        <v>5.9253478130949375</v>
      </c>
      <c r="G97" s="55"/>
      <c r="H97" s="55"/>
      <c r="I97" s="54">
        <v>13.911465897780024</v>
      </c>
      <c r="J97" s="54">
        <v>16.569335289928468</v>
      </c>
      <c r="K97" s="54">
        <v>19.764743628675646</v>
      </c>
      <c r="L97" s="54">
        <v>22.732982863343146</v>
      </c>
    </row>
    <row r="98" spans="3:12" s="13" customFormat="1" ht="12.75">
      <c r="C98" s="102"/>
      <c r="D98" s="102"/>
      <c r="E98" s="49"/>
      <c r="F98" s="56"/>
      <c r="G98" s="56"/>
      <c r="H98" s="56"/>
      <c r="I98" s="53"/>
      <c r="J98" s="53"/>
      <c r="K98" s="53"/>
      <c r="L98" s="56"/>
    </row>
    <row r="99" spans="3:12" s="13" customFormat="1" ht="12.75">
      <c r="C99" s="102" t="s">
        <v>21</v>
      </c>
      <c r="D99" s="102"/>
      <c r="E99" s="12"/>
      <c r="F99" s="52">
        <f>SUM(F93:F98)</f>
        <v>7.780974965405039</v>
      </c>
      <c r="G99" s="52"/>
      <c r="H99" s="52"/>
      <c r="I99" s="52">
        <f>SUM(I93:I98)</f>
        <v>17.71548285713822</v>
      </c>
      <c r="J99" s="52">
        <f>SUM(J93:J98)</f>
        <v>20.469741647960717</v>
      </c>
      <c r="K99" s="52">
        <f>SUM(K93:K98)</f>
        <v>23.92620231493033</v>
      </c>
      <c r="L99" s="52">
        <f>SUM(L93:L98)</f>
        <v>27.124333153773065</v>
      </c>
    </row>
    <row r="100" spans="2:12" s="13" customFormat="1" ht="12.75">
      <c r="B100" s="9" t="s">
        <v>154</v>
      </c>
      <c r="C100" s="102"/>
      <c r="D100" s="102"/>
      <c r="E100" s="12"/>
      <c r="F100" s="52"/>
      <c r="G100" s="52"/>
      <c r="H100" s="52"/>
      <c r="I100" s="52"/>
      <c r="J100" s="52"/>
      <c r="K100" s="52"/>
      <c r="L100" s="52"/>
    </row>
    <row r="101" spans="2:12" s="13" customFormat="1" ht="12.75">
      <c r="B101" s="33" t="s">
        <v>127</v>
      </c>
      <c r="C101" s="102"/>
      <c r="D101" s="102"/>
      <c r="E101" s="12"/>
      <c r="I101" s="52"/>
      <c r="J101" s="52"/>
      <c r="K101" s="52"/>
      <c r="L101" s="52"/>
    </row>
    <row r="102" spans="2:12" s="13" customFormat="1" ht="12.75">
      <c r="B102" s="13" t="s">
        <v>33</v>
      </c>
      <c r="C102" s="102" t="s">
        <v>21</v>
      </c>
      <c r="D102" s="102"/>
      <c r="E102" s="12"/>
      <c r="F102" s="54">
        <v>35.935175300087806</v>
      </c>
      <c r="G102" s="55"/>
      <c r="H102" s="55"/>
      <c r="I102" s="54">
        <v>68.91562364071923</v>
      </c>
      <c r="J102" s="54">
        <v>69.68088493542216</v>
      </c>
      <c r="K102" s="54">
        <v>71.48175509648695</v>
      </c>
      <c r="L102" s="54">
        <v>72.70285458960952</v>
      </c>
    </row>
    <row r="103" spans="2:12" s="13" customFormat="1" ht="12.75">
      <c r="B103" s="13" t="s">
        <v>34</v>
      </c>
      <c r="C103" s="102" t="s">
        <v>21</v>
      </c>
      <c r="D103" s="102"/>
      <c r="E103" s="12"/>
      <c r="F103" s="54">
        <v>52.8388544069818</v>
      </c>
      <c r="G103" s="55"/>
      <c r="H103" s="55"/>
      <c r="I103" s="54">
        <v>105.28640260021568</v>
      </c>
      <c r="J103" s="54">
        <v>105.33837839123066</v>
      </c>
      <c r="K103" s="54">
        <v>106.40018575759626</v>
      </c>
      <c r="L103" s="54">
        <v>106.93194915051029</v>
      </c>
    </row>
    <row r="104" spans="2:12" s="13" customFormat="1" ht="12.75">
      <c r="B104" s="13" t="s">
        <v>36</v>
      </c>
      <c r="C104" s="102" t="s">
        <v>21</v>
      </c>
      <c r="D104" s="102"/>
      <c r="E104" s="12"/>
      <c r="F104" s="54">
        <v>64.16979778092215</v>
      </c>
      <c r="G104" s="55"/>
      <c r="H104" s="55"/>
      <c r="I104" s="54">
        <v>127.9167905372424</v>
      </c>
      <c r="J104" s="54">
        <v>127.5357277166546</v>
      </c>
      <c r="K104" s="54">
        <v>128.16694852863765</v>
      </c>
      <c r="L104" s="54">
        <v>128.28603170632894</v>
      </c>
    </row>
    <row r="105" spans="2:12" s="13" customFormat="1" ht="12.75">
      <c r="B105" s="13" t="s">
        <v>37</v>
      </c>
      <c r="C105" s="102" t="s">
        <v>21</v>
      </c>
      <c r="D105" s="102"/>
      <c r="E105" s="12"/>
      <c r="F105" s="54">
        <v>64.66622080609571</v>
      </c>
      <c r="G105" s="55"/>
      <c r="H105" s="55"/>
      <c r="I105" s="54">
        <v>130.03945332395207</v>
      </c>
      <c r="J105" s="54">
        <v>131.0772644464389</v>
      </c>
      <c r="K105" s="54">
        <v>133.25818441149988</v>
      </c>
      <c r="L105" s="54">
        <v>135.13067763647203</v>
      </c>
    </row>
    <row r="106" spans="2:12" s="13" customFormat="1" ht="12.75">
      <c r="B106" s="13" t="s">
        <v>35</v>
      </c>
      <c r="C106" s="102" t="s">
        <v>21</v>
      </c>
      <c r="D106" s="102"/>
      <c r="E106" s="12"/>
      <c r="F106" s="54">
        <v>80.39760717897045</v>
      </c>
      <c r="G106" s="55"/>
      <c r="H106" s="55"/>
      <c r="I106" s="54">
        <v>170.71135891369053</v>
      </c>
      <c r="J106" s="54">
        <v>173.39742559678385</v>
      </c>
      <c r="K106" s="54">
        <v>177.68292628805779</v>
      </c>
      <c r="L106" s="54">
        <v>181.28788188890317</v>
      </c>
    </row>
    <row r="107" spans="3:12" s="13" customFormat="1" ht="12.75">
      <c r="C107" s="102"/>
      <c r="D107" s="102"/>
      <c r="E107" s="49"/>
      <c r="F107" s="56"/>
      <c r="G107" s="56"/>
      <c r="H107" s="56"/>
      <c r="I107" s="56"/>
      <c r="J107" s="56"/>
      <c r="K107" s="56"/>
      <c r="L107" s="56"/>
    </row>
    <row r="108" spans="3:12" s="13" customFormat="1" ht="12.75">
      <c r="C108" s="102"/>
      <c r="D108" s="102"/>
      <c r="E108" s="32"/>
      <c r="F108" s="5"/>
      <c r="G108" s="5"/>
      <c r="H108" s="5"/>
      <c r="I108" s="32"/>
      <c r="J108" s="32"/>
      <c r="K108" s="32"/>
      <c r="L108" s="5"/>
    </row>
    <row r="109" spans="3:12" s="13" customFormat="1" ht="12.75">
      <c r="C109" s="102"/>
      <c r="D109" s="102"/>
      <c r="E109" s="32"/>
      <c r="F109" s="5"/>
      <c r="G109" s="5"/>
      <c r="H109" s="5"/>
      <c r="I109" s="32"/>
      <c r="J109" s="32"/>
      <c r="K109" s="32"/>
      <c r="L109" s="5"/>
    </row>
    <row r="110" spans="3:12" s="13" customFormat="1" ht="12.75">
      <c r="C110" s="102"/>
      <c r="D110" s="102"/>
      <c r="E110" s="32"/>
      <c r="F110" s="5"/>
      <c r="G110" s="5"/>
      <c r="H110" s="5"/>
      <c r="I110" s="32"/>
      <c r="J110" s="32"/>
      <c r="K110" s="32"/>
      <c r="L110" s="5"/>
    </row>
    <row r="111" spans="2:9" s="13" customFormat="1" ht="12.75">
      <c r="B111" s="11" t="s">
        <v>155</v>
      </c>
      <c r="C111" s="94"/>
      <c r="D111" s="94"/>
      <c r="E111" s="59"/>
      <c r="I111" s="3"/>
    </row>
    <row r="112" spans="2:9" s="13" customFormat="1" ht="12.75">
      <c r="B112" s="17"/>
      <c r="C112" s="94"/>
      <c r="D112" s="94"/>
      <c r="E112" s="131"/>
      <c r="I112" s="3"/>
    </row>
    <row r="113" spans="2:9" s="13" customFormat="1" ht="12.75">
      <c r="B113" s="17" t="s">
        <v>51</v>
      </c>
      <c r="C113" s="94"/>
      <c r="D113" s="94"/>
      <c r="E113" s="131"/>
      <c r="I113" s="3"/>
    </row>
    <row r="114" spans="2:9" s="13" customFormat="1" ht="12.75">
      <c r="B114" s="17" t="s">
        <v>101</v>
      </c>
      <c r="C114" s="94" t="s">
        <v>38</v>
      </c>
      <c r="D114" s="94"/>
      <c r="F114"/>
      <c r="G114"/>
      <c r="H114"/>
      <c r="I114"/>
    </row>
    <row r="115" spans="2:9" s="13" customFormat="1" ht="12.75">
      <c r="B115" s="17" t="s">
        <v>102</v>
      </c>
      <c r="C115" s="94"/>
      <c r="D115" s="94"/>
      <c r="E115" s="237">
        <v>44286.96</v>
      </c>
      <c r="F115"/>
      <c r="G115"/>
      <c r="H115"/>
      <c r="I115"/>
    </row>
    <row r="116" spans="2:9" s="13" customFormat="1" ht="12.75">
      <c r="B116" s="17" t="s">
        <v>95</v>
      </c>
      <c r="C116" s="94" t="s">
        <v>93</v>
      </c>
      <c r="D116" s="94"/>
      <c r="E116" s="238"/>
      <c r="F116"/>
      <c r="G116"/>
      <c r="H116"/>
      <c r="I116"/>
    </row>
    <row r="117" spans="2:9" s="13" customFormat="1" ht="12.75">
      <c r="B117" s="17" t="s">
        <v>96</v>
      </c>
      <c r="C117" s="94" t="s">
        <v>93</v>
      </c>
      <c r="D117" s="94"/>
      <c r="E117" s="237">
        <v>182.86</v>
      </c>
      <c r="F117"/>
      <c r="G117"/>
      <c r="H117"/>
      <c r="I117"/>
    </row>
    <row r="118" spans="2:9" s="13" customFormat="1" ht="12.75">
      <c r="B118" s="17" t="s">
        <v>103</v>
      </c>
      <c r="C118" s="94"/>
      <c r="D118" s="94"/>
      <c r="E118" s="237">
        <v>91.43</v>
      </c>
      <c r="F118"/>
      <c r="G118"/>
      <c r="H118"/>
      <c r="I118"/>
    </row>
    <row r="119" spans="2:9" s="13" customFormat="1" ht="12.75">
      <c r="B119" s="17" t="s">
        <v>95</v>
      </c>
      <c r="C119" s="94" t="s">
        <v>93</v>
      </c>
      <c r="D119" s="94"/>
      <c r="E119" s="239">
        <v>0.0446</v>
      </c>
      <c r="F119"/>
      <c r="G119"/>
      <c r="H119"/>
      <c r="I119"/>
    </row>
    <row r="120" spans="2:9" s="13" customFormat="1" ht="12.75">
      <c r="B120" s="17" t="s">
        <v>96</v>
      </c>
      <c r="C120" s="94" t="s">
        <v>93</v>
      </c>
      <c r="D120" s="94"/>
      <c r="E120" s="240">
        <v>0.0223</v>
      </c>
      <c r="F120"/>
      <c r="G120"/>
      <c r="H120"/>
      <c r="I120"/>
    </row>
    <row r="121" spans="2:9" s="13" customFormat="1" ht="12.75">
      <c r="B121" s="17"/>
      <c r="C121" s="94"/>
      <c r="D121" s="94"/>
      <c r="E121" s="238"/>
      <c r="F121"/>
      <c r="G121"/>
      <c r="H121"/>
      <c r="I121"/>
    </row>
    <row r="122" spans="2:9" s="13" customFormat="1" ht="12.75">
      <c r="B122" s="17" t="s">
        <v>52</v>
      </c>
      <c r="C122" s="94"/>
      <c r="D122" s="94"/>
      <c r="E122" s="238"/>
      <c r="I122" s="3"/>
    </row>
    <row r="123" spans="2:9" s="13" customFormat="1" ht="12.75">
      <c r="B123" s="17" t="s">
        <v>101</v>
      </c>
      <c r="C123" s="94" t="s">
        <v>38</v>
      </c>
      <c r="D123" s="94"/>
      <c r="E123" s="238">
        <v>556.13</v>
      </c>
      <c r="I123" s="3"/>
    </row>
    <row r="124" spans="2:9" s="13" customFormat="1" ht="12.75">
      <c r="B124" s="17" t="s">
        <v>103</v>
      </c>
      <c r="C124" s="94"/>
      <c r="D124" s="94"/>
      <c r="E124" s="238"/>
      <c r="I124" s="3"/>
    </row>
    <row r="125" spans="2:9" s="13" customFormat="1" ht="12.75">
      <c r="B125" s="17" t="s">
        <v>104</v>
      </c>
      <c r="C125" s="94" t="s">
        <v>7</v>
      </c>
      <c r="D125" s="94"/>
      <c r="E125" s="238">
        <v>4.89</v>
      </c>
      <c r="I125" s="3"/>
    </row>
    <row r="126" spans="2:9" s="13" customFormat="1" ht="12.75">
      <c r="B126" s="17" t="s">
        <v>105</v>
      </c>
      <c r="C126" s="94" t="s">
        <v>7</v>
      </c>
      <c r="D126" s="94"/>
      <c r="E126" s="238">
        <v>4.6</v>
      </c>
      <c r="I126" s="3"/>
    </row>
    <row r="127" spans="2:9" s="13" customFormat="1" ht="12.75">
      <c r="B127" s="17" t="s">
        <v>106</v>
      </c>
      <c r="C127" s="94" t="s">
        <v>7</v>
      </c>
      <c r="D127" s="94"/>
      <c r="E127" s="238">
        <v>1.21</v>
      </c>
      <c r="I127" s="3"/>
    </row>
    <row r="128" spans="2:9" s="13" customFormat="1" ht="12.75">
      <c r="B128" s="17"/>
      <c r="C128" s="94"/>
      <c r="D128" s="94"/>
      <c r="E128" s="238"/>
      <c r="I128" s="3"/>
    </row>
    <row r="129" spans="2:9" s="13" customFormat="1" ht="12.75">
      <c r="B129" s="17" t="s">
        <v>53</v>
      </c>
      <c r="C129" s="94"/>
      <c r="D129" s="94"/>
      <c r="E129" s="238"/>
      <c r="I129" s="3"/>
    </row>
    <row r="130" spans="2:9" s="13" customFormat="1" ht="12.75">
      <c r="B130" s="17" t="s">
        <v>101</v>
      </c>
      <c r="C130" s="94" t="s">
        <v>38</v>
      </c>
      <c r="D130" s="94"/>
      <c r="E130" s="238">
        <v>556.13</v>
      </c>
      <c r="I130" s="3"/>
    </row>
    <row r="131" spans="2:9" s="13" customFormat="1" ht="12.75">
      <c r="B131" s="17" t="s">
        <v>103</v>
      </c>
      <c r="C131" s="94"/>
      <c r="D131" s="94"/>
      <c r="E131" s="238"/>
      <c r="I131" s="3"/>
    </row>
    <row r="132" spans="2:9" s="13" customFormat="1" ht="12.75">
      <c r="B132" s="17" t="s">
        <v>104</v>
      </c>
      <c r="C132" s="94" t="s">
        <v>7</v>
      </c>
      <c r="D132" s="94"/>
      <c r="E132" s="238">
        <v>4.89</v>
      </c>
      <c r="I132" s="3"/>
    </row>
    <row r="133" spans="2:9" s="13" customFormat="1" ht="12.75">
      <c r="B133" s="17" t="s">
        <v>107</v>
      </c>
      <c r="C133" s="94" t="s">
        <v>7</v>
      </c>
      <c r="D133" s="94"/>
      <c r="E133" s="238">
        <v>4.6</v>
      </c>
      <c r="I133" s="3"/>
    </row>
    <row r="134" spans="2:9" s="13" customFormat="1" ht="12.75">
      <c r="B134" s="17"/>
      <c r="C134" s="94"/>
      <c r="D134" s="94"/>
      <c r="E134" s="238"/>
      <c r="I134" s="3"/>
    </row>
    <row r="135" spans="2:9" s="13" customFormat="1" ht="12.75">
      <c r="B135" s="17" t="s">
        <v>54</v>
      </c>
      <c r="C135" s="94"/>
      <c r="D135" s="94"/>
      <c r="E135" s="238"/>
      <c r="I135" s="3"/>
    </row>
    <row r="136" spans="2:9" s="13" customFormat="1" ht="12.75">
      <c r="B136" s="17" t="s">
        <v>101</v>
      </c>
      <c r="C136" s="94" t="s">
        <v>38</v>
      </c>
      <c r="D136" s="94"/>
      <c r="E136" s="238">
        <v>223.02</v>
      </c>
      <c r="I136" s="3"/>
    </row>
    <row r="137" spans="2:9" s="13" customFormat="1" ht="12.75">
      <c r="B137" s="17" t="s">
        <v>103</v>
      </c>
      <c r="C137" s="94"/>
      <c r="D137" s="94"/>
      <c r="E137" s="238"/>
      <c r="I137" s="3"/>
    </row>
    <row r="138" spans="2:9" s="13" customFormat="1" ht="12.75">
      <c r="B138" s="17" t="s">
        <v>109</v>
      </c>
      <c r="C138" s="94" t="s">
        <v>7</v>
      </c>
      <c r="D138" s="94"/>
      <c r="E138" s="238">
        <v>5.66</v>
      </c>
      <c r="I138" s="3"/>
    </row>
    <row r="139" spans="2:9" s="13" customFormat="1" ht="12.75">
      <c r="B139" s="17" t="s">
        <v>108</v>
      </c>
      <c r="C139" s="94" t="s">
        <v>7</v>
      </c>
      <c r="D139" s="94"/>
      <c r="E139" s="238">
        <v>4.84</v>
      </c>
      <c r="I139" s="3"/>
    </row>
    <row r="140" spans="2:9" s="13" customFormat="1" ht="12.75">
      <c r="B140" s="17"/>
      <c r="C140" s="94"/>
      <c r="D140" s="94"/>
      <c r="E140" s="238"/>
      <c r="I140" s="3"/>
    </row>
    <row r="141" spans="2:9" s="13" customFormat="1" ht="12.75">
      <c r="B141" s="17" t="s">
        <v>55</v>
      </c>
      <c r="C141" s="94"/>
      <c r="D141" s="94"/>
      <c r="E141" s="238"/>
      <c r="I141" s="3"/>
    </row>
    <row r="142" spans="2:9" s="13" customFormat="1" ht="12.75">
      <c r="B142" s="17" t="s">
        <v>101</v>
      </c>
      <c r="C142" s="94" t="s">
        <v>38</v>
      </c>
      <c r="D142" s="94"/>
      <c r="E142" s="238">
        <v>28.59</v>
      </c>
      <c r="I142" s="3"/>
    </row>
    <row r="143" spans="2:9" s="13" customFormat="1" ht="12.75">
      <c r="B143" s="17" t="s">
        <v>103</v>
      </c>
      <c r="C143" s="94"/>
      <c r="D143" s="94"/>
      <c r="E143" s="238"/>
      <c r="I143" s="3"/>
    </row>
    <row r="144" spans="2:9" s="13" customFormat="1" ht="12.75">
      <c r="B144" s="17" t="s">
        <v>110</v>
      </c>
      <c r="C144" s="94" t="s">
        <v>7</v>
      </c>
      <c r="D144" s="94"/>
      <c r="E144" s="240">
        <v>9.5</v>
      </c>
      <c r="I144" s="3"/>
    </row>
    <row r="145" spans="2:9" s="13" customFormat="1" ht="12.75">
      <c r="B145" s="17" t="s">
        <v>111</v>
      </c>
      <c r="C145" s="94" t="s">
        <v>7</v>
      </c>
      <c r="D145" s="94"/>
      <c r="E145" s="240">
        <v>5.69</v>
      </c>
      <c r="I145" s="3"/>
    </row>
    <row r="146" spans="2:9" s="13" customFormat="1" ht="12.75">
      <c r="B146" s="17" t="s">
        <v>112</v>
      </c>
      <c r="C146" s="94" t="s">
        <v>7</v>
      </c>
      <c r="D146" s="94"/>
      <c r="E146" s="240">
        <v>3.86</v>
      </c>
      <c r="I146" s="3"/>
    </row>
    <row r="147" spans="2:9" s="13" customFormat="1" ht="12.75">
      <c r="B147" s="17"/>
      <c r="C147" s="94"/>
      <c r="D147" s="94"/>
      <c r="E147" s="131"/>
      <c r="I147" s="3"/>
    </row>
    <row r="148" spans="2:9" s="13" customFormat="1" ht="12.75">
      <c r="B148" s="11" t="s">
        <v>97</v>
      </c>
      <c r="C148" s="94"/>
      <c r="D148" s="94"/>
      <c r="E148" s="131"/>
      <c r="I148" s="3"/>
    </row>
    <row r="149" spans="2:9" s="13" customFormat="1" ht="12.75">
      <c r="B149" s="17" t="s">
        <v>129</v>
      </c>
      <c r="C149" s="94"/>
      <c r="D149" s="94"/>
      <c r="E149" s="131"/>
      <c r="I149" s="3"/>
    </row>
    <row r="150" spans="2:9" s="13" customFormat="1" ht="12.75">
      <c r="B150" s="17" t="s">
        <v>51</v>
      </c>
      <c r="C150" s="94"/>
      <c r="D150" s="94"/>
      <c r="E150" s="131"/>
      <c r="I150" s="3"/>
    </row>
    <row r="151" spans="2:9" s="13" customFormat="1" ht="12.75">
      <c r="B151" s="17" t="s">
        <v>94</v>
      </c>
      <c r="C151" s="94"/>
      <c r="D151" s="94"/>
      <c r="E151" s="131"/>
      <c r="I151" s="153"/>
    </row>
    <row r="152" spans="2:12" s="13" customFormat="1" ht="12.75">
      <c r="B152" s="17" t="s">
        <v>95</v>
      </c>
      <c r="C152" s="94" t="s">
        <v>98</v>
      </c>
      <c r="D152" s="94"/>
      <c r="E152"/>
      <c r="F152" s="169">
        <v>5256.393676438358</v>
      </c>
      <c r="G152" s="169">
        <v>5701.488826301371</v>
      </c>
      <c r="H152" s="169">
        <v>5656.527649041097</v>
      </c>
      <c r="I152" s="169">
        <v>11358.016475342469</v>
      </c>
      <c r="J152" s="169">
        <v>11488.533370218582</v>
      </c>
      <c r="K152" s="169">
        <v>11540.409900000002</v>
      </c>
      <c r="L152" s="169">
        <v>11540.409900000002</v>
      </c>
    </row>
    <row r="153" spans="2:12" s="13" customFormat="1" ht="12.75">
      <c r="B153" s="17" t="s">
        <v>96</v>
      </c>
      <c r="C153" s="94" t="s">
        <v>98</v>
      </c>
      <c r="D153" s="94"/>
      <c r="E153"/>
      <c r="F153" s="169">
        <v>1775.6645479452054</v>
      </c>
      <c r="G153" s="169">
        <v>1805.0954520547946</v>
      </c>
      <c r="H153" s="169">
        <v>1775.6645479452054</v>
      </c>
      <c r="I153" s="169">
        <v>3580.76</v>
      </c>
      <c r="J153" s="169">
        <v>3570.9765027322405</v>
      </c>
      <c r="K153" s="169">
        <v>3580.76</v>
      </c>
      <c r="L153" s="169">
        <v>3580.76</v>
      </c>
    </row>
    <row r="154" spans="2:12" s="13" customFormat="1" ht="12.75">
      <c r="B154" s="17" t="s">
        <v>100</v>
      </c>
      <c r="C154" s="94"/>
      <c r="D154" s="94"/>
      <c r="E154"/>
      <c r="G154" s="149"/>
      <c r="H154" s="149"/>
      <c r="I154" s="149"/>
      <c r="J154" s="149"/>
      <c r="K154" s="149"/>
      <c r="L154" s="149"/>
    </row>
    <row r="155" spans="2:12" s="13" customFormat="1" ht="12.75">
      <c r="B155" s="17" t="s">
        <v>95</v>
      </c>
      <c r="C155" s="94" t="s">
        <v>130</v>
      </c>
      <c r="D155" s="94"/>
      <c r="E155"/>
      <c r="F155" s="169">
        <v>10758.600116015135</v>
      </c>
      <c r="G155" s="169">
        <v>13754.48407176058</v>
      </c>
      <c r="H155" s="169">
        <v>12870.283130824835</v>
      </c>
      <c r="I155" s="169">
        <v>26624.767202585415</v>
      </c>
      <c r="J155" s="169">
        <v>29049.77913858111</v>
      </c>
      <c r="K155" s="169">
        <v>30600.653530958556</v>
      </c>
      <c r="L155" s="169">
        <v>31186.240465840485</v>
      </c>
    </row>
    <row r="156" spans="2:12" s="13" customFormat="1" ht="12.75">
      <c r="B156" s="17" t="s">
        <v>96</v>
      </c>
      <c r="C156" s="94" t="s">
        <v>130</v>
      </c>
      <c r="D156" s="94"/>
      <c r="E156"/>
      <c r="F156" s="169">
        <v>1048.6355947779803</v>
      </c>
      <c r="G156" s="169">
        <v>5989.929963224926</v>
      </c>
      <c r="H156" s="169">
        <v>4785.630094835344</v>
      </c>
      <c r="I156" s="169">
        <v>10775.560058060271</v>
      </c>
      <c r="J156" s="169">
        <v>11496.983803947405</v>
      </c>
      <c r="K156" s="169">
        <v>12078.501244751065</v>
      </c>
      <c r="L156" s="169">
        <v>12309.523809733586</v>
      </c>
    </row>
    <row r="157" spans="2:12" s="13" customFormat="1" ht="12.75">
      <c r="B157" s="17"/>
      <c r="C157" s="94"/>
      <c r="D157" s="94"/>
      <c r="E157"/>
      <c r="F157" s="141"/>
      <c r="G157" s="141"/>
      <c r="H157" s="141"/>
      <c r="I157" s="140"/>
      <c r="J157" s="141"/>
      <c r="K157" s="141"/>
      <c r="L157" s="141"/>
    </row>
    <row r="158" spans="2:12" s="13" customFormat="1" ht="12.75">
      <c r="B158" s="37" t="s">
        <v>52</v>
      </c>
      <c r="C158" s="111"/>
      <c r="D158" s="111"/>
      <c r="E158" s="1"/>
      <c r="F158" s="141"/>
      <c r="G158" s="141"/>
      <c r="H158"/>
      <c r="I158" s="140"/>
      <c r="J158" s="141"/>
      <c r="K158" s="141"/>
      <c r="L158" s="141"/>
    </row>
    <row r="159" spans="2:12" s="13" customFormat="1" ht="12.75">
      <c r="B159" s="37" t="s">
        <v>100</v>
      </c>
      <c r="C159" s="111"/>
      <c r="D159" s="111"/>
      <c r="E159" s="1"/>
      <c r="F159" s="141"/>
      <c r="G159" s="141"/>
      <c r="H159"/>
      <c r="I159" s="140"/>
      <c r="J159" s="141"/>
      <c r="K159" s="141"/>
      <c r="L159" s="141"/>
    </row>
    <row r="160" spans="2:12" s="13" customFormat="1" ht="12.75">
      <c r="B160" s="37" t="s">
        <v>104</v>
      </c>
      <c r="C160" s="111" t="s">
        <v>99</v>
      </c>
      <c r="D160" s="111"/>
      <c r="E160" s="1"/>
      <c r="F160" s="169">
        <v>226132.00620774936</v>
      </c>
      <c r="G160" s="169">
        <v>233090.80559272296</v>
      </c>
      <c r="H160"/>
      <c r="I160" s="151"/>
      <c r="J160" s="151"/>
      <c r="K160" s="151"/>
      <c r="L160" s="151"/>
    </row>
    <row r="161" spans="2:12" s="13" customFormat="1" ht="12.75">
      <c r="B161" s="37" t="s">
        <v>105</v>
      </c>
      <c r="C161" s="111" t="s">
        <v>99</v>
      </c>
      <c r="D161" s="111"/>
      <c r="E161" s="1"/>
      <c r="F161" s="169">
        <v>201368.9773212878</v>
      </c>
      <c r="G161" s="169">
        <v>214972.1665822464</v>
      </c>
      <c r="H161"/>
      <c r="I161" s="151"/>
      <c r="J161" s="151"/>
      <c r="K161" s="151"/>
      <c r="L161" s="151"/>
    </row>
    <row r="162" spans="2:12" s="13" customFormat="1" ht="12.75">
      <c r="B162" s="37" t="s">
        <v>106</v>
      </c>
      <c r="C162" s="111" t="s">
        <v>99</v>
      </c>
      <c r="D162" s="111"/>
      <c r="E162" s="1"/>
      <c r="F162" s="169">
        <v>454342.23164106306</v>
      </c>
      <c r="G162" s="169">
        <v>499470.4756684849</v>
      </c>
      <c r="H162"/>
      <c r="I162" s="151"/>
      <c r="J162" s="151"/>
      <c r="K162" s="151"/>
      <c r="L162" s="151"/>
    </row>
    <row r="163" spans="2:12" s="13" customFormat="1" ht="12.75">
      <c r="B163" s="37"/>
      <c r="C163" s="111"/>
      <c r="D163" s="111"/>
      <c r="E163" s="1"/>
      <c r="F163" s="141"/>
      <c r="G163" s="141"/>
      <c r="H163"/>
      <c r="I163" s="141"/>
      <c r="J163" s="141"/>
      <c r="K163" s="141"/>
      <c r="L163" s="141"/>
    </row>
    <row r="164" spans="2:12" s="13" customFormat="1" ht="12.75">
      <c r="B164" s="37" t="s">
        <v>53</v>
      </c>
      <c r="C164" s="111"/>
      <c r="D164" s="111"/>
      <c r="E164" s="1"/>
      <c r="F164" s="141"/>
      <c r="G164" s="141"/>
      <c r="H164"/>
      <c r="I164" s="141"/>
      <c r="J164" s="141"/>
      <c r="K164" s="141"/>
      <c r="L164" s="141"/>
    </row>
    <row r="165" spans="2:12" s="13" customFormat="1" ht="12.75">
      <c r="B165" s="37" t="s">
        <v>100</v>
      </c>
      <c r="C165" s="111"/>
      <c r="D165" s="111"/>
      <c r="E165" s="1"/>
      <c r="F165" s="141"/>
      <c r="G165" s="141"/>
      <c r="H165"/>
      <c r="I165" s="141"/>
      <c r="J165" s="141"/>
      <c r="K165" s="141"/>
      <c r="L165" s="141"/>
    </row>
    <row r="166" spans="2:12" s="13" customFormat="1" ht="12.75">
      <c r="B166" s="37" t="s">
        <v>104</v>
      </c>
      <c r="C166" s="111" t="s">
        <v>99</v>
      </c>
      <c r="D166" s="111"/>
      <c r="E166" s="1"/>
      <c r="F166" s="169">
        <v>682857.0151404138</v>
      </c>
      <c r="G166" s="169">
        <v>799798.1491848814</v>
      </c>
      <c r="H166"/>
      <c r="I166" s="151"/>
      <c r="J166" s="151"/>
      <c r="K166" s="151"/>
      <c r="L166" s="151"/>
    </row>
    <row r="167" spans="2:12" s="13" customFormat="1" ht="12.75">
      <c r="B167" s="37" t="s">
        <v>107</v>
      </c>
      <c r="C167" s="111" t="s">
        <v>99</v>
      </c>
      <c r="D167" s="111"/>
      <c r="E167" s="1"/>
      <c r="F167" s="169">
        <v>74335.76737159125</v>
      </c>
      <c r="G167" s="169">
        <v>101099.40555021609</v>
      </c>
      <c r="H167"/>
      <c r="I167" s="151"/>
      <c r="J167" s="151"/>
      <c r="K167" s="151"/>
      <c r="L167" s="151"/>
    </row>
    <row r="168" spans="2:12" s="13" customFormat="1" ht="12.75">
      <c r="B168" s="37"/>
      <c r="C168" s="111"/>
      <c r="D168" s="111"/>
      <c r="E168" s="1"/>
      <c r="F168" s="141"/>
      <c r="G168" s="141"/>
      <c r="H168"/>
      <c r="I168" s="141"/>
      <c r="J168" s="141"/>
      <c r="K168" s="141"/>
      <c r="L168" s="141"/>
    </row>
    <row r="169" spans="2:12" s="13" customFormat="1" ht="12.75">
      <c r="B169" s="37" t="s">
        <v>54</v>
      </c>
      <c r="C169" s="111"/>
      <c r="D169" s="111"/>
      <c r="E169" s="1"/>
      <c r="F169" s="141"/>
      <c r="G169" s="141"/>
      <c r="H169"/>
      <c r="I169" s="141"/>
      <c r="J169" s="141"/>
      <c r="K169" s="141"/>
      <c r="L169" s="141"/>
    </row>
    <row r="170" spans="2:12" s="13" customFormat="1" ht="12.75">
      <c r="B170" s="37" t="s">
        <v>100</v>
      </c>
      <c r="C170" s="111"/>
      <c r="D170" s="111"/>
      <c r="E170" s="1"/>
      <c r="F170" s="141"/>
      <c r="G170" s="141"/>
      <c r="H170"/>
      <c r="I170" s="141"/>
      <c r="J170" s="141"/>
      <c r="K170" s="141"/>
      <c r="L170" s="141"/>
    </row>
    <row r="171" spans="2:12" s="13" customFormat="1" ht="12.75">
      <c r="B171" s="37" t="s">
        <v>109</v>
      </c>
      <c r="C171" s="111" t="s">
        <v>99</v>
      </c>
      <c r="D171" s="111"/>
      <c r="E171" s="1"/>
      <c r="F171" s="169">
        <v>196477.34777621407</v>
      </c>
      <c r="G171" s="169">
        <v>219589.2266627273</v>
      </c>
      <c r="H171"/>
      <c r="I171" s="151"/>
      <c r="J171" s="151"/>
      <c r="K171" s="151"/>
      <c r="L171" s="151"/>
    </row>
    <row r="172" spans="2:12" s="13" customFormat="1" ht="12.75">
      <c r="B172" s="37" t="s">
        <v>108</v>
      </c>
      <c r="C172" s="111" t="s">
        <v>99</v>
      </c>
      <c r="D172" s="111"/>
      <c r="E172" s="1"/>
      <c r="F172" s="169">
        <v>354495.15004440054</v>
      </c>
      <c r="G172" s="169">
        <v>398597.524826861</v>
      </c>
      <c r="H172"/>
      <c r="I172" s="151"/>
      <c r="J172" s="151"/>
      <c r="K172" s="151"/>
      <c r="L172" s="151"/>
    </row>
    <row r="173" spans="2:12" s="13" customFormat="1" ht="12.75">
      <c r="B173" s="37"/>
      <c r="C173" s="111"/>
      <c r="D173" s="111"/>
      <c r="E173" s="1"/>
      <c r="F173" s="141"/>
      <c r="G173" s="141"/>
      <c r="H173"/>
      <c r="I173" s="141"/>
      <c r="J173" s="141"/>
      <c r="K173" s="141"/>
      <c r="L173" s="141"/>
    </row>
    <row r="174" spans="2:12" s="13" customFormat="1" ht="12.75">
      <c r="B174" s="37" t="s">
        <v>55</v>
      </c>
      <c r="C174" s="111"/>
      <c r="D174" s="111"/>
      <c r="E174" s="1"/>
      <c r="F174" s="141"/>
      <c r="G174" s="141"/>
      <c r="H174"/>
      <c r="I174" s="141"/>
      <c r="J174" s="141"/>
      <c r="K174" s="141"/>
      <c r="L174" s="141"/>
    </row>
    <row r="175" spans="2:12" s="13" customFormat="1" ht="12.75">
      <c r="B175" s="37" t="s">
        <v>100</v>
      </c>
      <c r="C175" s="111"/>
      <c r="D175" s="111"/>
      <c r="E175" s="1"/>
      <c r="F175" s="141"/>
      <c r="G175" s="141"/>
      <c r="H175"/>
      <c r="I175" s="141"/>
      <c r="J175" s="141"/>
      <c r="K175" s="141"/>
      <c r="L175" s="141"/>
    </row>
    <row r="176" spans="2:12" s="13" customFormat="1" ht="12.75">
      <c r="B176" s="37" t="s">
        <v>110</v>
      </c>
      <c r="C176" s="111" t="s">
        <v>99</v>
      </c>
      <c r="D176" s="111"/>
      <c r="E176" s="1"/>
      <c r="F176" s="169">
        <v>3089271.7088689394</v>
      </c>
      <c r="G176" s="169">
        <v>3471766.197160439</v>
      </c>
      <c r="H176"/>
      <c r="I176" s="151"/>
      <c r="J176" s="151"/>
      <c r="K176" s="151"/>
      <c r="L176" s="151"/>
    </row>
    <row r="177" spans="2:12" s="13" customFormat="1" ht="12.75">
      <c r="B177" s="37" t="s">
        <v>111</v>
      </c>
      <c r="C177" s="111" t="s">
        <v>99</v>
      </c>
      <c r="D177" s="111"/>
      <c r="E177" s="1"/>
      <c r="F177" s="169">
        <v>1196708.4110870725</v>
      </c>
      <c r="G177" s="169">
        <v>2090900.1575846018</v>
      </c>
      <c r="H177"/>
      <c r="I177" s="151"/>
      <c r="J177" s="151"/>
      <c r="K177" s="151"/>
      <c r="L177" s="151"/>
    </row>
    <row r="178" spans="2:12" s="13" customFormat="1" ht="12.75">
      <c r="B178" s="37" t="s">
        <v>112</v>
      </c>
      <c r="C178" s="111" t="s">
        <v>99</v>
      </c>
      <c r="D178" s="111"/>
      <c r="E178" s="1"/>
      <c r="F178" s="169">
        <v>317205.0547036669</v>
      </c>
      <c r="G178" s="169">
        <v>621015.7486662524</v>
      </c>
      <c r="H178"/>
      <c r="I178" s="151"/>
      <c r="J178" s="151"/>
      <c r="K178" s="151"/>
      <c r="L178" s="151"/>
    </row>
    <row r="179" spans="2:12" s="13" customFormat="1" ht="12.75">
      <c r="B179" s="37"/>
      <c r="C179" s="111"/>
      <c r="D179" s="111"/>
      <c r="E179" s="1"/>
      <c r="F179" s="141"/>
      <c r="G179" s="141"/>
      <c r="H179"/>
      <c r="I179" s="140"/>
      <c r="J179" s="141"/>
      <c r="K179" s="141"/>
      <c r="L179" s="141"/>
    </row>
    <row r="180" spans="2:9" s="13" customFormat="1" ht="12.75">
      <c r="B180" s="11" t="s">
        <v>126</v>
      </c>
      <c r="C180" s="94"/>
      <c r="D180" s="94"/>
      <c r="E180" s="133"/>
      <c r="I180" s="3"/>
    </row>
    <row r="181" spans="2:9" s="13" customFormat="1" ht="12.75">
      <c r="B181" s="11" t="s">
        <v>85</v>
      </c>
      <c r="C181" s="94"/>
      <c r="D181" s="94"/>
      <c r="E181" s="133"/>
      <c r="I181" s="3"/>
    </row>
    <row r="182" spans="2:12" s="13" customFormat="1" ht="12.75">
      <c r="B182" s="89" t="s">
        <v>127</v>
      </c>
      <c r="C182" s="94" t="s">
        <v>21</v>
      </c>
      <c r="D182" s="94"/>
      <c r="E182" s="133"/>
      <c r="F182" s="170">
        <v>1.851150475461704</v>
      </c>
      <c r="G182" s="170">
        <v>1.7068219671737257</v>
      </c>
      <c r="H182" s="170">
        <v>1.590425715363479</v>
      </c>
      <c r="I182" s="170">
        <v>3.217768793341665</v>
      </c>
      <c r="J182" s="170">
        <v>3.183804661410011</v>
      </c>
      <c r="K182" s="170">
        <v>3.36319815805244</v>
      </c>
      <c r="L182" s="170">
        <v>3.5334598891482574</v>
      </c>
    </row>
    <row r="183" spans="2:12" s="13" customFormat="1" ht="12.75">
      <c r="B183" s="89"/>
      <c r="C183" s="94"/>
      <c r="D183" s="94"/>
      <c r="E183" s="133"/>
      <c r="F183" s="151"/>
      <c r="G183" s="151"/>
      <c r="H183" s="151"/>
      <c r="I183" s="151"/>
      <c r="J183" s="151"/>
      <c r="K183" s="151"/>
      <c r="L183" s="151"/>
    </row>
    <row r="184" spans="2:9" s="13" customFormat="1" ht="12.75">
      <c r="B184" s="11" t="s">
        <v>113</v>
      </c>
      <c r="C184" s="94"/>
      <c r="D184" s="94"/>
      <c r="E184" s="133"/>
      <c r="I184" s="3"/>
    </row>
    <row r="185" spans="2:9" s="13" customFormat="1" ht="12.75">
      <c r="B185" s="33" t="s">
        <v>127</v>
      </c>
      <c r="C185" s="94"/>
      <c r="D185" s="94"/>
      <c r="E185" s="133"/>
      <c r="I185" s="3"/>
    </row>
    <row r="186" spans="2:9" s="13" customFormat="1" ht="12.75">
      <c r="B186" s="17"/>
      <c r="C186" s="94"/>
      <c r="D186" s="94"/>
      <c r="E186" s="143"/>
      <c r="I186" s="3"/>
    </row>
    <row r="187" spans="2:12" s="13" customFormat="1" ht="12.75">
      <c r="B187" s="17" t="s">
        <v>33</v>
      </c>
      <c r="C187" s="94" t="s">
        <v>38</v>
      </c>
      <c r="D187" s="94"/>
      <c r="E187" s="133"/>
      <c r="F187" s="150">
        <v>4317</v>
      </c>
      <c r="G187" s="150">
        <v>4317</v>
      </c>
      <c r="H187" s="150">
        <v>4317</v>
      </c>
      <c r="I187" s="150">
        <v>4317</v>
      </c>
      <c r="J187" s="150">
        <v>4317</v>
      </c>
      <c r="K187" s="150">
        <v>4317</v>
      </c>
      <c r="L187" s="150">
        <v>4317</v>
      </c>
    </row>
    <row r="188" spans="2:12" s="13" customFormat="1" ht="12.75">
      <c r="B188" s="17" t="s">
        <v>34</v>
      </c>
      <c r="C188" s="94" t="s">
        <v>38</v>
      </c>
      <c r="D188" s="94"/>
      <c r="E188" s="133"/>
      <c r="F188" s="150">
        <v>3193</v>
      </c>
      <c r="G188" s="150">
        <v>3193</v>
      </c>
      <c r="H188" s="150">
        <v>3193</v>
      </c>
      <c r="I188" s="150">
        <v>3193</v>
      </c>
      <c r="J188" s="150">
        <v>3193</v>
      </c>
      <c r="K188" s="150">
        <v>3193</v>
      </c>
      <c r="L188" s="150">
        <v>3193</v>
      </c>
    </row>
    <row r="189" spans="2:12" s="13" customFormat="1" ht="12.75">
      <c r="B189" s="17" t="s">
        <v>36</v>
      </c>
      <c r="C189" s="94" t="s">
        <v>38</v>
      </c>
      <c r="D189" s="94"/>
      <c r="E189" s="133"/>
      <c r="F189" s="150">
        <v>1632</v>
      </c>
      <c r="G189" s="150">
        <v>1632</v>
      </c>
      <c r="H189" s="150">
        <v>1632</v>
      </c>
      <c r="I189" s="150">
        <v>1632</v>
      </c>
      <c r="J189" s="150">
        <v>1632</v>
      </c>
      <c r="K189" s="150">
        <v>1632</v>
      </c>
      <c r="L189" s="150">
        <v>1632</v>
      </c>
    </row>
    <row r="190" spans="2:9" s="13" customFormat="1" ht="12.75">
      <c r="B190" s="17"/>
      <c r="C190" s="94"/>
      <c r="D190" s="94"/>
      <c r="E190" s="131"/>
      <c r="I190" s="3"/>
    </row>
    <row r="191" spans="1:4" s="30" customFormat="1" ht="12.75">
      <c r="A191" s="13"/>
      <c r="C191" s="117"/>
      <c r="D191" s="117"/>
    </row>
  </sheetData>
  <sheetProtection/>
  <mergeCells count="1">
    <mergeCell ref="E4:G4"/>
  </mergeCells>
  <printOptions/>
  <pageMargins left="0.75" right="0.75" top="1" bottom="1" header="0.5" footer="0.5"/>
  <pageSetup fitToHeight="1" fitToWidth="1" horizontalDpi="300" verticalDpi="300" orientation="landscape" paperSize="9" scale="61" r:id="rId4"/>
  <headerFooter alignWithMargins="0">
    <oddFooter>&amp;L&amp;D&amp;T&amp;Z&amp;F&amp;A</oddFooter>
  </headerFooter>
  <ignoredErrors>
    <ignoredError sqref="I20:L20" formula="1"/>
  </ignoredErrors>
  <drawing r:id="rId3"/>
  <legacyDrawing r:id="rId2"/>
  <oleObjects>
    <oleObject progId="Word.Document.8" shapeId="673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90" sqref="H90"/>
    </sheetView>
  </sheetViews>
  <sheetFormatPr defaultColWidth="9.33203125" defaultRowHeight="12.75"/>
  <cols>
    <col min="1" max="1" width="1.83203125" style="12" customWidth="1"/>
    <col min="2" max="2" width="50.83203125" style="12" customWidth="1"/>
    <col min="3" max="3" width="12.83203125" style="93" customWidth="1"/>
    <col min="4" max="4" width="5.83203125" style="93" customWidth="1"/>
    <col min="5" max="9" width="12.83203125" style="12" customWidth="1"/>
    <col min="10" max="13" width="10.83203125" style="12" customWidth="1"/>
    <col min="14" max="16384" width="9.33203125" style="12" customWidth="1"/>
  </cols>
  <sheetData>
    <row r="1" ht="19.5" customHeight="1"/>
    <row r="2" spans="1:10" s="80" customFormat="1" ht="15" customHeight="1">
      <c r="A2" s="77"/>
      <c r="B2" s="78" t="s">
        <v>12</v>
      </c>
      <c r="C2" s="119"/>
      <c r="D2" s="119"/>
      <c r="E2" s="79" t="s">
        <v>23</v>
      </c>
      <c r="F2" s="79" t="s">
        <v>24</v>
      </c>
      <c r="G2" s="79" t="s">
        <v>25</v>
      </c>
      <c r="H2" s="79" t="s">
        <v>26</v>
      </c>
      <c r="I2" s="79" t="s">
        <v>27</v>
      </c>
      <c r="J2" s="79" t="s">
        <v>62</v>
      </c>
    </row>
    <row r="3" spans="1:10" s="80" customFormat="1" ht="15" customHeight="1">
      <c r="A3" s="77"/>
      <c r="B3" s="78" t="s">
        <v>11</v>
      </c>
      <c r="C3" s="119"/>
      <c r="D3" s="119"/>
      <c r="E3" s="79" t="s">
        <v>4</v>
      </c>
      <c r="F3" s="79" t="s">
        <v>4</v>
      </c>
      <c r="G3" s="79" t="s">
        <v>4</v>
      </c>
      <c r="H3" s="79" t="s">
        <v>4</v>
      </c>
      <c r="I3" s="79" t="s">
        <v>4</v>
      </c>
      <c r="J3" s="79" t="s">
        <v>4</v>
      </c>
    </row>
    <row r="4" spans="9:12" ht="12.75">
      <c r="I4" s="208"/>
      <c r="J4" s="32"/>
      <c r="K4" s="32"/>
      <c r="L4" s="32"/>
    </row>
    <row r="5" spans="9:12" ht="12.75">
      <c r="I5" s="208"/>
      <c r="J5" s="32"/>
      <c r="K5" s="32"/>
      <c r="L5" s="32"/>
    </row>
    <row r="6" spans="2:12" s="127" customFormat="1" ht="15" customHeight="1">
      <c r="B6" s="130" t="s">
        <v>80</v>
      </c>
      <c r="C6" s="128"/>
      <c r="D6" s="128"/>
      <c r="E6" s="129">
        <v>10.5</v>
      </c>
      <c r="F6" s="129">
        <v>11.5</v>
      </c>
      <c r="G6" s="129">
        <v>12.5</v>
      </c>
      <c r="H6" s="129">
        <v>13.5</v>
      </c>
      <c r="I6" s="209">
        <v>14.5</v>
      </c>
      <c r="J6" s="172">
        <v>15.5</v>
      </c>
      <c r="K6" s="171"/>
      <c r="L6" s="171"/>
    </row>
    <row r="7" spans="5:12" ht="12.75">
      <c r="E7" s="50"/>
      <c r="I7" s="208"/>
      <c r="J7" s="32"/>
      <c r="K7" s="32"/>
      <c r="L7" s="32"/>
    </row>
    <row r="8" spans="2:12" ht="12.75">
      <c r="B8" s="45" t="s">
        <v>137</v>
      </c>
      <c r="I8" s="208"/>
      <c r="J8" s="32"/>
      <c r="K8" s="32"/>
      <c r="L8" s="32"/>
    </row>
    <row r="9" spans="2:12" ht="12.75">
      <c r="B9" s="37" t="s">
        <v>45</v>
      </c>
      <c r="C9" s="93" t="s">
        <v>21</v>
      </c>
      <c r="E9" s="50">
        <v>523.1915830900101</v>
      </c>
      <c r="F9" s="50">
        <f>F44</f>
        <v>520.5500750813111</v>
      </c>
      <c r="G9" s="50">
        <f>G44</f>
        <v>508.42778806612597</v>
      </c>
      <c r="H9" s="50">
        <f>H44</f>
        <v>496.30550105094073</v>
      </c>
      <c r="I9" s="210">
        <f>I44</f>
        <v>484.18321403575544</v>
      </c>
      <c r="J9" s="57">
        <f>J44</f>
        <v>472.0609270205702</v>
      </c>
      <c r="K9" s="207"/>
      <c r="L9" s="32"/>
    </row>
    <row r="10" spans="2:12" ht="12.75">
      <c r="B10" s="37" t="s">
        <v>46</v>
      </c>
      <c r="C10" s="93" t="s">
        <v>21</v>
      </c>
      <c r="E10" s="50">
        <v>104.4997567247691</v>
      </c>
      <c r="F10" s="50">
        <f>F79</f>
        <v>103.05165682160423</v>
      </c>
      <c r="G10" s="50">
        <f>G79</f>
        <v>98.48753438487937</v>
      </c>
      <c r="H10" s="50">
        <f>H79</f>
        <v>93.92341194815452</v>
      </c>
      <c r="I10" s="210">
        <f>I79</f>
        <v>89.35928951142968</v>
      </c>
      <c r="J10" s="57">
        <f>J79</f>
        <v>84.79516707470485</v>
      </c>
      <c r="K10" s="207"/>
      <c r="L10" s="207"/>
    </row>
    <row r="11" spans="2:12" ht="12.75">
      <c r="B11" s="37" t="s">
        <v>47</v>
      </c>
      <c r="C11" s="93" t="s">
        <v>21</v>
      </c>
      <c r="E11" s="57">
        <f>159.916680898937+E404</f>
        <v>160.496503898937</v>
      </c>
      <c r="F11" s="57">
        <f>F182+F404</f>
        <v>164.258407749434</v>
      </c>
      <c r="G11" s="57">
        <f>G182+G404</f>
        <v>158.0557784064797</v>
      </c>
      <c r="H11" s="57">
        <f>H182+H404</f>
        <v>151.85314906352542</v>
      </c>
      <c r="I11" s="210">
        <f>I182+I404</f>
        <v>145.65051972057108</v>
      </c>
      <c r="J11" s="57">
        <f>J182+J404</f>
        <v>139.67261140945718</v>
      </c>
      <c r="K11" s="207"/>
      <c r="L11" s="32"/>
    </row>
    <row r="12" spans="2:12" ht="12.75">
      <c r="B12" s="37" t="s">
        <v>48</v>
      </c>
      <c r="C12" s="93" t="s">
        <v>21</v>
      </c>
      <c r="E12" s="57">
        <v>0</v>
      </c>
      <c r="F12" s="57">
        <f>F285+F438</f>
        <v>32.18273989886679</v>
      </c>
      <c r="G12" s="57">
        <f>G285+G438</f>
        <v>71.7247589172227</v>
      </c>
      <c r="H12" s="57">
        <f>H285+H438</f>
        <v>117.89711091633582</v>
      </c>
      <c r="I12" s="210">
        <f>I285+I438</f>
        <v>162.63036502698608</v>
      </c>
      <c r="J12" s="57">
        <f>J285+J438</f>
        <v>206.60872260020844</v>
      </c>
      <c r="K12" s="207"/>
      <c r="L12" s="32"/>
    </row>
    <row r="13" spans="2:12" ht="12.75">
      <c r="B13" s="37"/>
      <c r="E13" s="60"/>
      <c r="F13" s="60"/>
      <c r="G13" s="60"/>
      <c r="H13" s="60"/>
      <c r="I13" s="211"/>
      <c r="J13" s="60"/>
      <c r="K13" s="207"/>
      <c r="L13" s="32"/>
    </row>
    <row r="14" spans="3:12" ht="12.75">
      <c r="C14" s="93" t="s">
        <v>21</v>
      </c>
      <c r="E14" s="50">
        <f aca="true" t="shared" si="0" ref="E14:J14">SUM(E9:E13)</f>
        <v>788.1878437137162</v>
      </c>
      <c r="F14" s="50">
        <f t="shared" si="0"/>
        <v>820.0428795512161</v>
      </c>
      <c r="G14" s="50">
        <f t="shared" si="0"/>
        <v>836.6958597747077</v>
      </c>
      <c r="H14" s="50">
        <f t="shared" si="0"/>
        <v>859.9791729789564</v>
      </c>
      <c r="I14" s="210">
        <f t="shared" si="0"/>
        <v>881.8233882947422</v>
      </c>
      <c r="J14" s="57">
        <f t="shared" si="0"/>
        <v>903.1374281049407</v>
      </c>
      <c r="K14" s="207"/>
      <c r="L14" s="32"/>
    </row>
    <row r="15" spans="2:12" ht="12.75">
      <c r="B15" s="85"/>
      <c r="C15" s="8"/>
      <c r="D15" s="8"/>
      <c r="E15" s="84"/>
      <c r="F15" s="84"/>
      <c r="G15" s="84"/>
      <c r="H15" s="84"/>
      <c r="I15" s="212"/>
      <c r="J15" s="84"/>
      <c r="L15" s="32"/>
    </row>
    <row r="16" spans="2:12" ht="12.75">
      <c r="B16" s="45" t="s">
        <v>5</v>
      </c>
      <c r="C16" s="8"/>
      <c r="D16" s="8"/>
      <c r="E16" s="13"/>
      <c r="F16" s="13"/>
      <c r="G16" s="13"/>
      <c r="H16" s="13"/>
      <c r="I16" s="213"/>
      <c r="J16" s="5"/>
      <c r="K16" s="32"/>
      <c r="L16" s="32"/>
    </row>
    <row r="17" spans="2:12" ht="12.75">
      <c r="B17" s="37" t="s">
        <v>42</v>
      </c>
      <c r="C17" s="93" t="s">
        <v>21</v>
      </c>
      <c r="E17" s="50">
        <f>E302+F438</f>
        <v>32.18273989886679</v>
      </c>
      <c r="F17" s="50">
        <f>F302</f>
        <v>41.002332415977676</v>
      </c>
      <c r="G17" s="50">
        <f>G302</f>
        <v>49.58201413848443</v>
      </c>
      <c r="H17" s="50">
        <f>H302</f>
        <v>50.04762767601996</v>
      </c>
      <c r="I17" s="210">
        <f>I302</f>
        <v>51.437225703371126</v>
      </c>
      <c r="J17" s="57"/>
      <c r="K17" s="32"/>
      <c r="L17" s="32"/>
    </row>
    <row r="18" spans="2:12" ht="12.75">
      <c r="B18" s="37"/>
      <c r="E18" s="60"/>
      <c r="F18" s="60"/>
      <c r="G18" s="60"/>
      <c r="H18" s="60"/>
      <c r="I18" s="211"/>
      <c r="J18" s="8"/>
      <c r="K18" s="32"/>
      <c r="L18" s="32"/>
    </row>
    <row r="19" spans="2:12" ht="12.75">
      <c r="B19" s="85"/>
      <c r="C19" s="93" t="s">
        <v>21</v>
      </c>
      <c r="E19" s="50">
        <f>SUM(E17:E18)</f>
        <v>32.18273989886679</v>
      </c>
      <c r="F19" s="50">
        <f>SUM(F17:F18)</f>
        <v>41.002332415977676</v>
      </c>
      <c r="G19" s="50">
        <f>SUM(G17:G18)</f>
        <v>49.58201413848443</v>
      </c>
      <c r="H19" s="50">
        <f>SUM(H17:H18)</f>
        <v>50.04762767601996</v>
      </c>
      <c r="I19" s="210">
        <f>SUM(I17:I18)</f>
        <v>51.437225703371126</v>
      </c>
      <c r="J19" s="57"/>
      <c r="K19" s="32"/>
      <c r="L19" s="32"/>
    </row>
    <row r="20" spans="2:12" ht="12.75">
      <c r="B20" s="85"/>
      <c r="E20" s="50"/>
      <c r="F20" s="50"/>
      <c r="G20" s="50"/>
      <c r="H20" s="50"/>
      <c r="I20" s="210"/>
      <c r="J20" s="57"/>
      <c r="K20" s="32"/>
      <c r="L20" s="32"/>
    </row>
    <row r="21" spans="2:10" ht="12.75">
      <c r="B21" s="2" t="s">
        <v>39</v>
      </c>
      <c r="C21" s="8"/>
      <c r="D21" s="8"/>
      <c r="E21" s="84"/>
      <c r="F21" s="84"/>
      <c r="G21" s="84"/>
      <c r="H21" s="84"/>
      <c r="I21" s="212"/>
      <c r="J21" s="5"/>
    </row>
    <row r="22" spans="2:10" ht="12.75">
      <c r="B22" s="37" t="s">
        <v>45</v>
      </c>
      <c r="C22" s="93" t="s">
        <v>21</v>
      </c>
      <c r="E22" s="115">
        <f>E61</f>
        <v>2.641508008699014</v>
      </c>
      <c r="F22" s="115">
        <f>F61</f>
        <v>12.122287015185275</v>
      </c>
      <c r="G22" s="115">
        <f>G61</f>
        <v>12.122287015185268</v>
      </c>
      <c r="H22" s="115">
        <f>H61</f>
        <v>12.122287015185268</v>
      </c>
      <c r="I22" s="214">
        <f>I61</f>
        <v>12.122287015185268</v>
      </c>
      <c r="J22" s="115"/>
    </row>
    <row r="23" spans="2:10" ht="12.75">
      <c r="B23" s="37" t="s">
        <v>46</v>
      </c>
      <c r="C23" s="93" t="s">
        <v>21</v>
      </c>
      <c r="E23" s="115">
        <f>E96+E113+E130+E147+E164</f>
        <v>1.4480999031648856</v>
      </c>
      <c r="F23" s="115">
        <f>F96+F113+F130+F147+F164</f>
        <v>4.564122436724848</v>
      </c>
      <c r="G23" s="115">
        <f>G96+G113+G130+G147+G164</f>
        <v>4.564122436724848</v>
      </c>
      <c r="H23" s="115">
        <f>H96+H113+H130+H147+H164</f>
        <v>4.564122436724848</v>
      </c>
      <c r="I23" s="214">
        <f>I96+I113+I130+I147+I164</f>
        <v>4.564122436724848</v>
      </c>
      <c r="J23" s="115"/>
    </row>
    <row r="24" spans="2:10" ht="12.75">
      <c r="B24" s="37" t="s">
        <v>47</v>
      </c>
      <c r="C24" s="93" t="s">
        <v>21</v>
      </c>
      <c r="E24" s="115">
        <f>E199+E216+E233+E250+E267+E421</f>
        <v>-3.7619038504966458</v>
      </c>
      <c r="F24" s="115">
        <f>F199+F216+F233+F250+F267+F421</f>
        <v>6.202629342954302</v>
      </c>
      <c r="G24" s="115">
        <f>G199+G216+G233+G250+G267+G421</f>
        <v>6.202629342954301</v>
      </c>
      <c r="H24" s="115">
        <f>H199+H216+H233+H250+H267+H421</f>
        <v>6.202629342954301</v>
      </c>
      <c r="I24" s="214">
        <f>I199+I216+I233+I250+I267+I421</f>
        <v>5.977908311113939</v>
      </c>
      <c r="J24" s="115"/>
    </row>
    <row r="25" spans="2:10" ht="12.75">
      <c r="B25" s="37" t="s">
        <v>48</v>
      </c>
      <c r="C25" s="93" t="s">
        <v>21</v>
      </c>
      <c r="E25" s="115">
        <f>E319+E336+E353+E370+E387+E455</f>
        <v>0</v>
      </c>
      <c r="F25" s="115">
        <f>F319+F336+F353+F370+F387+F455</f>
        <v>1.4603133976217668</v>
      </c>
      <c r="G25" s="115">
        <f>G319+G336+G353+G370+G387+G455</f>
        <v>3.4096621393713056</v>
      </c>
      <c r="H25" s="115">
        <f>H319+H336+H353+H370+H387+H455</f>
        <v>5.314373565369697</v>
      </c>
      <c r="I25" s="214">
        <f>I319+I336+I353+I370+I387+I455</f>
        <v>7.458868130148718</v>
      </c>
      <c r="J25" s="115"/>
    </row>
    <row r="26" spans="2:10" ht="12.75">
      <c r="B26" s="37"/>
      <c r="E26" s="60"/>
      <c r="F26" s="60"/>
      <c r="G26" s="60"/>
      <c r="H26" s="60"/>
      <c r="I26" s="211"/>
      <c r="J26" s="8"/>
    </row>
    <row r="27" spans="2:11" ht="12.75">
      <c r="B27" s="85"/>
      <c r="C27" s="93" t="s">
        <v>21</v>
      </c>
      <c r="E27" s="115">
        <f>SUM(E22:E25)</f>
        <v>0.3277040613672533</v>
      </c>
      <c r="F27" s="115">
        <f>SUM(F22:F25)</f>
        <v>24.349352192486194</v>
      </c>
      <c r="G27" s="115">
        <f>SUM(G22:G25)</f>
        <v>26.298700934235725</v>
      </c>
      <c r="H27" s="115">
        <f>SUM(H22:H25)</f>
        <v>28.203412360234115</v>
      </c>
      <c r="I27" s="214">
        <f>SUM(I22:I25)</f>
        <v>30.123185893172774</v>
      </c>
      <c r="J27" s="50"/>
      <c r="K27" s="50"/>
    </row>
    <row r="28" spans="3:10" ht="12.75">
      <c r="C28" s="8"/>
      <c r="D28" s="8"/>
      <c r="E28" s="84"/>
      <c r="F28" s="68"/>
      <c r="G28" s="68"/>
      <c r="H28" s="68"/>
      <c r="I28" s="215"/>
      <c r="J28" s="5"/>
    </row>
    <row r="29" spans="1:10" s="30" customFormat="1" ht="12.75">
      <c r="A29" s="13"/>
      <c r="B29" s="116" t="s">
        <v>45</v>
      </c>
      <c r="C29" s="120"/>
      <c r="D29" s="120"/>
      <c r="E29" s="58"/>
      <c r="I29" s="216"/>
      <c r="J29" s="58"/>
    </row>
    <row r="30" spans="2:10" ht="12.75">
      <c r="B30" s="25" t="s">
        <v>145</v>
      </c>
      <c r="C30" s="121"/>
      <c r="D30" s="121"/>
      <c r="I30" s="208"/>
      <c r="J30" s="32"/>
    </row>
    <row r="31" spans="2:10" ht="12.75">
      <c r="B31" s="13" t="s">
        <v>19</v>
      </c>
      <c r="C31" s="121" t="s">
        <v>21</v>
      </c>
      <c r="D31" s="121"/>
      <c r="E31" s="57">
        <v>188.40481904795814</v>
      </c>
      <c r="F31" s="57">
        <f>E31-E48</f>
        <v>187.4132147371794</v>
      </c>
      <c r="G31" s="57">
        <f>F31-F48</f>
        <v>185.43000611562195</v>
      </c>
      <c r="H31" s="57">
        <f>G31-G48</f>
        <v>183.4467974940645</v>
      </c>
      <c r="I31" s="210">
        <f>H31-H48</f>
        <v>181.46358887250705</v>
      </c>
      <c r="J31" s="57">
        <f>I31-I48</f>
        <v>179.4803802509496</v>
      </c>
    </row>
    <row r="32" spans="2:10" ht="12.75">
      <c r="B32" s="13" t="s">
        <v>20</v>
      </c>
      <c r="C32" s="121" t="s">
        <v>21</v>
      </c>
      <c r="D32" s="121"/>
      <c r="E32" s="57">
        <v>198.2725634319867</v>
      </c>
      <c r="F32" s="57">
        <f aca="true" t="shared" si="1" ref="F32:J42">E32-E49</f>
        <v>195.79415638908685</v>
      </c>
      <c r="G32" s="57">
        <f t="shared" si="1"/>
        <v>190.8373423032872</v>
      </c>
      <c r="H32" s="57">
        <f t="shared" si="1"/>
        <v>185.88052821748752</v>
      </c>
      <c r="I32" s="210">
        <f t="shared" si="1"/>
        <v>180.92371413168786</v>
      </c>
      <c r="J32" s="57">
        <f t="shared" si="1"/>
        <v>175.9669000458882</v>
      </c>
    </row>
    <row r="33" spans="2:10" ht="12.75">
      <c r="B33" s="13" t="s">
        <v>43</v>
      </c>
      <c r="C33" s="121" t="s">
        <v>21</v>
      </c>
      <c r="D33" s="121"/>
      <c r="E33" s="57">
        <v>100.4624247947204</v>
      </c>
      <c r="F33" s="57">
        <f t="shared" si="1"/>
        <v>98.78805104814174</v>
      </c>
      <c r="G33" s="57">
        <f t="shared" si="1"/>
        <v>95.43930355498439</v>
      </c>
      <c r="H33" s="57">
        <f t="shared" si="1"/>
        <v>92.09055606182704</v>
      </c>
      <c r="I33" s="210">
        <f t="shared" si="1"/>
        <v>88.7418085686697</v>
      </c>
      <c r="J33" s="57">
        <f t="shared" si="1"/>
        <v>85.39306107551235</v>
      </c>
    </row>
    <row r="34" spans="2:10" ht="12.75">
      <c r="B34" s="13" t="s">
        <v>29</v>
      </c>
      <c r="C34" s="121" t="s">
        <v>21</v>
      </c>
      <c r="D34" s="121"/>
      <c r="E34" s="57">
        <v>26.05473264130074</v>
      </c>
      <c r="F34" s="57">
        <f t="shared" si="1"/>
        <v>25.46257962672572</v>
      </c>
      <c r="G34" s="57">
        <f t="shared" si="1"/>
        <v>24.278273597575687</v>
      </c>
      <c r="H34" s="57">
        <f t="shared" si="1"/>
        <v>23.093967568425654</v>
      </c>
      <c r="I34" s="210">
        <f t="shared" si="1"/>
        <v>21.90966153927562</v>
      </c>
      <c r="J34" s="57">
        <f t="shared" si="1"/>
        <v>20.72535551012559</v>
      </c>
    </row>
    <row r="35" spans="2:10" ht="12.75">
      <c r="B35" s="13" t="s">
        <v>1</v>
      </c>
      <c r="C35" s="121" t="s">
        <v>21</v>
      </c>
      <c r="D35" s="121"/>
      <c r="E35" s="57">
        <v>8.709780441258054</v>
      </c>
      <c r="F35" s="57">
        <f t="shared" si="1"/>
        <v>8.453610428279877</v>
      </c>
      <c r="G35" s="57">
        <f t="shared" si="1"/>
        <v>7.9412704023235205</v>
      </c>
      <c r="H35" s="57">
        <f t="shared" si="1"/>
        <v>7.428930376367164</v>
      </c>
      <c r="I35" s="210">
        <f t="shared" si="1"/>
        <v>6.916590350410808</v>
      </c>
      <c r="J35" s="57">
        <f t="shared" si="1"/>
        <v>6.404250324454452</v>
      </c>
    </row>
    <row r="36" spans="2:10" ht="12.75">
      <c r="B36" s="13" t="s">
        <v>10</v>
      </c>
      <c r="C36" s="121" t="s">
        <v>21</v>
      </c>
      <c r="D36" s="121"/>
      <c r="E36" s="57">
        <v>1.5634680447540616</v>
      </c>
      <c r="F36" s="57">
        <f t="shared" si="1"/>
        <v>1.5076299002985594</v>
      </c>
      <c r="G36" s="57">
        <f t="shared" si="1"/>
        <v>1.395953611387555</v>
      </c>
      <c r="H36" s="57">
        <f t="shared" si="1"/>
        <v>1.2842773224765507</v>
      </c>
      <c r="I36" s="210">
        <f t="shared" si="1"/>
        <v>1.1726010335655463</v>
      </c>
      <c r="J36" s="57">
        <f t="shared" si="1"/>
        <v>1.060924744654542</v>
      </c>
    </row>
    <row r="37" spans="2:10" ht="12.75">
      <c r="B37" s="13" t="s">
        <v>8</v>
      </c>
      <c r="C37" s="121" t="s">
        <v>21</v>
      </c>
      <c r="D37" s="121"/>
      <c r="E37" s="57">
        <v>0.3275281184942749</v>
      </c>
      <c r="F37" s="57">
        <f t="shared" si="1"/>
        <v>0.314930883167572</v>
      </c>
      <c r="G37" s="57">
        <f t="shared" si="1"/>
        <v>0.28973641251416626</v>
      </c>
      <c r="H37" s="57">
        <f t="shared" si="1"/>
        <v>0.2645419418607605</v>
      </c>
      <c r="I37" s="210">
        <f t="shared" si="1"/>
        <v>0.23934747120735475</v>
      </c>
      <c r="J37" s="57">
        <f t="shared" si="1"/>
        <v>0.21415300055394898</v>
      </c>
    </row>
    <row r="38" spans="2:10" ht="12.75">
      <c r="B38" s="13" t="s">
        <v>44</v>
      </c>
      <c r="C38" s="121" t="s">
        <v>21</v>
      </c>
      <c r="D38" s="121"/>
      <c r="E38" s="57">
        <v>7.105427357601002E-15</v>
      </c>
      <c r="F38" s="57">
        <f t="shared" si="1"/>
        <v>7.105427357601002E-15</v>
      </c>
      <c r="G38" s="57">
        <f t="shared" si="1"/>
        <v>0</v>
      </c>
      <c r="H38" s="57">
        <f t="shared" si="1"/>
        <v>0</v>
      </c>
      <c r="I38" s="210">
        <f t="shared" si="1"/>
        <v>0</v>
      </c>
      <c r="J38" s="57">
        <f t="shared" si="1"/>
        <v>0</v>
      </c>
    </row>
    <row r="39" spans="2:10" ht="12.75">
      <c r="B39" s="13" t="s">
        <v>22</v>
      </c>
      <c r="C39" s="121" t="s">
        <v>21</v>
      </c>
      <c r="D39" s="121"/>
      <c r="E39" s="57">
        <v>-3.4196354988936184</v>
      </c>
      <c r="F39" s="57">
        <f t="shared" si="1"/>
        <v>0</v>
      </c>
      <c r="G39" s="57">
        <f t="shared" si="1"/>
        <v>-8.881784197001252E-16</v>
      </c>
      <c r="H39" s="57">
        <f t="shared" si="1"/>
        <v>-8.881784197001252E-16</v>
      </c>
      <c r="I39" s="210">
        <f t="shared" si="1"/>
        <v>-8.881784197001252E-16</v>
      </c>
      <c r="J39" s="57">
        <f t="shared" si="1"/>
        <v>-8.881784197001252E-16</v>
      </c>
    </row>
    <row r="40" spans="2:10" ht="12.75">
      <c r="B40" s="13" t="s">
        <v>2</v>
      </c>
      <c r="C40" s="121" t="s">
        <v>21</v>
      </c>
      <c r="D40" s="121"/>
      <c r="E40" s="57">
        <v>0</v>
      </c>
      <c r="F40" s="57">
        <f t="shared" si="1"/>
        <v>0</v>
      </c>
      <c r="G40" s="57">
        <f t="shared" si="1"/>
        <v>0</v>
      </c>
      <c r="H40" s="57">
        <f t="shared" si="1"/>
        <v>0</v>
      </c>
      <c r="I40" s="210">
        <f t="shared" si="1"/>
        <v>0</v>
      </c>
      <c r="J40" s="57">
        <f t="shared" si="1"/>
        <v>0</v>
      </c>
    </row>
    <row r="41" spans="2:10" ht="12.75">
      <c r="B41" s="13" t="s">
        <v>31</v>
      </c>
      <c r="C41" s="121" t="s">
        <v>21</v>
      </c>
      <c r="D41" s="121"/>
      <c r="E41" s="57">
        <v>0</v>
      </c>
      <c r="F41" s="57">
        <f t="shared" si="1"/>
        <v>0</v>
      </c>
      <c r="G41" s="57">
        <f t="shared" si="1"/>
        <v>0</v>
      </c>
      <c r="H41" s="57">
        <f t="shared" si="1"/>
        <v>0</v>
      </c>
      <c r="I41" s="210">
        <f t="shared" si="1"/>
        <v>0</v>
      </c>
      <c r="J41" s="57">
        <f t="shared" si="1"/>
        <v>0</v>
      </c>
    </row>
    <row r="42" spans="2:10" ht="12.75">
      <c r="B42" s="13" t="s">
        <v>3</v>
      </c>
      <c r="C42" s="121" t="s">
        <v>21</v>
      </c>
      <c r="D42" s="121"/>
      <c r="E42" s="57">
        <v>2.8159020684314915</v>
      </c>
      <c r="F42" s="57">
        <f t="shared" si="1"/>
        <v>2.8159020684314915</v>
      </c>
      <c r="G42" s="57">
        <f t="shared" si="1"/>
        <v>2.8159020684314915</v>
      </c>
      <c r="H42" s="57">
        <f t="shared" si="1"/>
        <v>2.8159020684314915</v>
      </c>
      <c r="I42" s="210">
        <f t="shared" si="1"/>
        <v>2.8159020684314915</v>
      </c>
      <c r="J42" s="57">
        <f t="shared" si="1"/>
        <v>2.8159020684314915</v>
      </c>
    </row>
    <row r="43" spans="2:10" ht="12.75">
      <c r="B43" s="37"/>
      <c r="C43" s="121"/>
      <c r="D43" s="121"/>
      <c r="E43" s="56"/>
      <c r="F43" s="56"/>
      <c r="G43" s="56"/>
      <c r="H43" s="56"/>
      <c r="I43" s="217"/>
      <c r="J43" s="56"/>
    </row>
    <row r="44" spans="2:10" ht="12.75">
      <c r="B44" s="36"/>
      <c r="C44" s="121" t="s">
        <v>21</v>
      </c>
      <c r="D44" s="121"/>
      <c r="E44" s="92">
        <f aca="true" t="shared" si="2" ref="E44:J44">SUM(E31:E43)</f>
        <v>523.1915830900101</v>
      </c>
      <c r="F44" s="92">
        <f t="shared" si="2"/>
        <v>520.5500750813111</v>
      </c>
      <c r="G44" s="92">
        <f t="shared" si="2"/>
        <v>508.42778806612597</v>
      </c>
      <c r="H44" s="92">
        <f t="shared" si="2"/>
        <v>496.30550105094073</v>
      </c>
      <c r="I44" s="218">
        <f t="shared" si="2"/>
        <v>484.18321403575544</v>
      </c>
      <c r="J44" s="92">
        <f t="shared" si="2"/>
        <v>472.0609270205702</v>
      </c>
    </row>
    <row r="45" spans="2:10" ht="12.75">
      <c r="B45" s="36"/>
      <c r="C45" s="121"/>
      <c r="D45" s="121"/>
      <c r="I45" s="208"/>
      <c r="J45" s="32"/>
    </row>
    <row r="46" spans="2:10" s="13" customFormat="1" ht="12.75">
      <c r="B46" s="95" t="s">
        <v>59</v>
      </c>
      <c r="C46" s="118"/>
      <c r="D46" s="118"/>
      <c r="I46" s="213"/>
      <c r="J46" s="5"/>
    </row>
    <row r="47" spans="2:10" ht="12.75">
      <c r="B47" s="36"/>
      <c r="C47" s="121"/>
      <c r="D47" s="121"/>
      <c r="I47" s="208"/>
      <c r="J47" s="32"/>
    </row>
    <row r="48" spans="2:11" ht="12.75">
      <c r="B48" s="13" t="s">
        <v>19</v>
      </c>
      <c r="C48" s="121" t="s">
        <v>21</v>
      </c>
      <c r="D48" s="121"/>
      <c r="E48" s="52">
        <v>0.9916043107787268</v>
      </c>
      <c r="F48" s="52">
        <v>1.983208621557454</v>
      </c>
      <c r="G48" s="52">
        <v>1.983208621557454</v>
      </c>
      <c r="H48" s="52">
        <v>1.983208621557454</v>
      </c>
      <c r="I48" s="219">
        <v>1.983208621557454</v>
      </c>
      <c r="J48" s="168"/>
      <c r="K48"/>
    </row>
    <row r="49" spans="2:11" ht="12.75">
      <c r="B49" s="13" t="s">
        <v>20</v>
      </c>
      <c r="C49" s="121" t="s">
        <v>21</v>
      </c>
      <c r="D49" s="121"/>
      <c r="E49" s="52">
        <v>2.4784070428998337</v>
      </c>
      <c r="F49" s="52">
        <v>4.956814085799667</v>
      </c>
      <c r="G49" s="52">
        <v>4.956814085799667</v>
      </c>
      <c r="H49" s="52">
        <v>4.956814085799667</v>
      </c>
      <c r="I49" s="219">
        <v>4.956814085799667</v>
      </c>
      <c r="J49" s="168"/>
      <c r="K49"/>
    </row>
    <row r="50" spans="2:11" ht="12.75">
      <c r="B50" s="13" t="s">
        <v>43</v>
      </c>
      <c r="C50" s="121" t="s">
        <v>21</v>
      </c>
      <c r="D50" s="121"/>
      <c r="E50" s="52">
        <v>1.6743737465786734</v>
      </c>
      <c r="F50" s="52">
        <v>3.348747493157347</v>
      </c>
      <c r="G50" s="52">
        <v>3.348747493157347</v>
      </c>
      <c r="H50" s="52">
        <v>3.348747493157347</v>
      </c>
      <c r="I50" s="219">
        <v>3.348747493157347</v>
      </c>
      <c r="J50" s="168"/>
      <c r="K50"/>
    </row>
    <row r="51" spans="2:11" ht="12.75">
      <c r="B51" s="13" t="s">
        <v>29</v>
      </c>
      <c r="C51" s="121" t="s">
        <v>21</v>
      </c>
      <c r="D51" s="121"/>
      <c r="E51" s="52">
        <v>0.5921530145750166</v>
      </c>
      <c r="F51" s="52">
        <v>1.1843060291500336</v>
      </c>
      <c r="G51" s="52">
        <v>1.1843060291500336</v>
      </c>
      <c r="H51" s="52">
        <v>1.1843060291500336</v>
      </c>
      <c r="I51" s="219">
        <v>1.1843060291500336</v>
      </c>
      <c r="J51" s="168"/>
      <c r="K51"/>
    </row>
    <row r="52" spans="2:11" ht="12.75">
      <c r="B52" s="13" t="s">
        <v>1</v>
      </c>
      <c r="C52" s="121" t="s">
        <v>21</v>
      </c>
      <c r="D52" s="121"/>
      <c r="E52" s="52">
        <v>0.256170012978178</v>
      </c>
      <c r="F52" s="52">
        <v>0.5123400259563562</v>
      </c>
      <c r="G52" s="52">
        <v>0.5123400259563562</v>
      </c>
      <c r="H52" s="52">
        <v>0.5123400259563562</v>
      </c>
      <c r="I52" s="219">
        <v>0.5123400259563562</v>
      </c>
      <c r="J52" s="168"/>
      <c r="K52"/>
    </row>
    <row r="53" spans="2:11" ht="12.75">
      <c r="B53" s="13" t="s">
        <v>10</v>
      </c>
      <c r="C53" s="121" t="s">
        <v>21</v>
      </c>
      <c r="D53" s="121"/>
      <c r="E53" s="52">
        <v>0.05583814445550218</v>
      </c>
      <c r="F53" s="52">
        <v>0.1116762889110044</v>
      </c>
      <c r="G53" s="52">
        <v>0.1116762889110044</v>
      </c>
      <c r="H53" s="52">
        <v>0.11167628891100441</v>
      </c>
      <c r="I53" s="219">
        <v>0.11167628891100441</v>
      </c>
      <c r="J53" s="168"/>
      <c r="K53"/>
    </row>
    <row r="54" spans="2:11" ht="12.75">
      <c r="B54" s="13" t="s">
        <v>8</v>
      </c>
      <c r="C54" s="121" t="s">
        <v>21</v>
      </c>
      <c r="D54" s="121"/>
      <c r="E54" s="52">
        <v>0.012597235326702863</v>
      </c>
      <c r="F54" s="52">
        <v>0.02519447065340576</v>
      </c>
      <c r="G54" s="52">
        <v>0.025194470653405764</v>
      </c>
      <c r="H54" s="52">
        <v>0.025194470653405764</v>
      </c>
      <c r="I54" s="219">
        <v>0.025194470653405764</v>
      </c>
      <c r="J54" s="168"/>
      <c r="K54"/>
    </row>
    <row r="55" spans="2:11" ht="12.75">
      <c r="B55" s="13" t="s">
        <v>44</v>
      </c>
      <c r="C55" s="121" t="s">
        <v>21</v>
      </c>
      <c r="D55" s="121"/>
      <c r="E55" s="52">
        <v>0</v>
      </c>
      <c r="F55" s="52">
        <v>7.105427357601002E-15</v>
      </c>
      <c r="G55" s="52">
        <v>0</v>
      </c>
      <c r="H55" s="52">
        <v>0</v>
      </c>
      <c r="I55" s="219">
        <v>0</v>
      </c>
      <c r="J55" s="168"/>
      <c r="K55"/>
    </row>
    <row r="56" spans="2:11" ht="12.75">
      <c r="B56" s="13" t="s">
        <v>22</v>
      </c>
      <c r="C56" s="121" t="s">
        <v>21</v>
      </c>
      <c r="D56" s="121"/>
      <c r="E56" s="52">
        <v>-3.4196354988936193</v>
      </c>
      <c r="F56" s="52">
        <v>8.881784197001252E-16</v>
      </c>
      <c r="G56" s="52">
        <v>0</v>
      </c>
      <c r="H56" s="52">
        <v>0</v>
      </c>
      <c r="I56" s="219">
        <v>0</v>
      </c>
      <c r="J56" s="168"/>
      <c r="K56"/>
    </row>
    <row r="57" spans="2:11" ht="12.75">
      <c r="B57" s="13" t="s">
        <v>2</v>
      </c>
      <c r="C57" s="121" t="s">
        <v>21</v>
      </c>
      <c r="D57" s="121"/>
      <c r="E57" s="52">
        <v>0</v>
      </c>
      <c r="F57" s="52">
        <v>0</v>
      </c>
      <c r="G57" s="52">
        <v>0</v>
      </c>
      <c r="H57" s="52">
        <v>0</v>
      </c>
      <c r="I57" s="219">
        <v>0</v>
      </c>
      <c r="J57" s="168"/>
      <c r="K57"/>
    </row>
    <row r="58" spans="2:11" ht="12.75">
      <c r="B58" s="13" t="s">
        <v>31</v>
      </c>
      <c r="C58" s="121" t="s">
        <v>21</v>
      </c>
      <c r="D58" s="121"/>
      <c r="E58" s="52">
        <v>0</v>
      </c>
      <c r="F58" s="52">
        <v>0</v>
      </c>
      <c r="G58" s="52">
        <v>0</v>
      </c>
      <c r="H58" s="52">
        <v>0</v>
      </c>
      <c r="I58" s="219">
        <v>0</v>
      </c>
      <c r="J58" s="168"/>
      <c r="K58"/>
    </row>
    <row r="59" spans="2:11" ht="12.75">
      <c r="B59" s="13" t="s">
        <v>3</v>
      </c>
      <c r="C59" s="121" t="s">
        <v>21</v>
      </c>
      <c r="D59" s="121"/>
      <c r="E59" s="50"/>
      <c r="F59" s="50"/>
      <c r="G59" s="50"/>
      <c r="H59" s="50"/>
      <c r="I59" s="210"/>
      <c r="J59" s="168"/>
      <c r="K59"/>
    </row>
    <row r="60" spans="2:11" ht="12.75">
      <c r="B60" s="36"/>
      <c r="C60" s="121"/>
      <c r="D60" s="121"/>
      <c r="E60" s="53"/>
      <c r="F60" s="53"/>
      <c r="G60" s="53"/>
      <c r="H60" s="53"/>
      <c r="I60" s="220"/>
      <c r="J60" s="168"/>
      <c r="K60"/>
    </row>
    <row r="61" spans="2:11" ht="12.75">
      <c r="B61" s="36"/>
      <c r="C61" s="121" t="s">
        <v>21</v>
      </c>
      <c r="D61" s="121"/>
      <c r="E61" s="57">
        <f>SUM(E48:E60)</f>
        <v>2.641508008699014</v>
      </c>
      <c r="F61" s="57">
        <f>SUM(F48:F60)</f>
        <v>12.122287015185275</v>
      </c>
      <c r="G61" s="57">
        <f>SUM(G48:G60)</f>
        <v>12.122287015185268</v>
      </c>
      <c r="H61" s="57">
        <f>SUM(H48:H60)</f>
        <v>12.122287015185268</v>
      </c>
      <c r="I61" s="210">
        <f>SUM(I48:I60)</f>
        <v>12.122287015185268</v>
      </c>
      <c r="J61" s="168"/>
      <c r="K61"/>
    </row>
    <row r="62" spans="2:11" ht="12.75">
      <c r="B62" s="36"/>
      <c r="C62" s="121"/>
      <c r="D62" s="121"/>
      <c r="E62" s="57"/>
      <c r="F62" s="57"/>
      <c r="G62" s="57"/>
      <c r="H62" s="57"/>
      <c r="I62" s="210"/>
      <c r="J62" s="168"/>
      <c r="K62"/>
    </row>
    <row r="63" spans="2:10" ht="12.75">
      <c r="B63" s="93"/>
      <c r="C63" s="121"/>
      <c r="D63" s="121"/>
      <c r="I63" s="208"/>
      <c r="J63" s="32"/>
    </row>
    <row r="64" spans="1:10" s="30" customFormat="1" ht="12.75">
      <c r="A64" s="13"/>
      <c r="B64" s="113" t="s">
        <v>60</v>
      </c>
      <c r="C64" s="122"/>
      <c r="D64" s="122"/>
      <c r="E64" s="114"/>
      <c r="F64" s="112"/>
      <c r="G64" s="112"/>
      <c r="H64" s="112"/>
      <c r="I64" s="221"/>
      <c r="J64" s="114"/>
    </row>
    <row r="65" spans="2:10" ht="12.75">
      <c r="B65" s="25" t="s">
        <v>138</v>
      </c>
      <c r="C65" s="121"/>
      <c r="D65" s="121"/>
      <c r="I65" s="208"/>
      <c r="J65" s="32"/>
    </row>
    <row r="66" spans="2:10" ht="12.75">
      <c r="B66" s="13" t="s">
        <v>19</v>
      </c>
      <c r="C66" s="121" t="s">
        <v>21</v>
      </c>
      <c r="D66" s="121"/>
      <c r="E66" s="34">
        <v>2.9355862646955955</v>
      </c>
      <c r="F66" s="34">
        <f aca="true" t="shared" si="3" ref="F66:J77">E66-E83-E100-E117-E134-E151</f>
        <v>3.110793324372572</v>
      </c>
      <c r="G66" s="34">
        <f t="shared" si="3"/>
        <v>3.0825467978300423</v>
      </c>
      <c r="H66" s="34">
        <f t="shared" si="3"/>
        <v>3.0543002712875125</v>
      </c>
      <c r="I66" s="222">
        <f t="shared" si="3"/>
        <v>3.0260537447449827</v>
      </c>
      <c r="J66" s="34">
        <f t="shared" si="3"/>
        <v>2.997807218202453</v>
      </c>
    </row>
    <row r="67" spans="2:10" ht="12.75">
      <c r="B67" s="13" t="s">
        <v>20</v>
      </c>
      <c r="C67" s="121" t="s">
        <v>21</v>
      </c>
      <c r="D67" s="121"/>
      <c r="E67" s="34">
        <v>30.81931959002518</v>
      </c>
      <c r="F67" s="34">
        <f t="shared" si="3"/>
        <v>30.52521299182675</v>
      </c>
      <c r="G67" s="34">
        <f t="shared" si="3"/>
        <v>29.93699979542989</v>
      </c>
      <c r="H67" s="34">
        <f t="shared" si="3"/>
        <v>29.348786599033033</v>
      </c>
      <c r="I67" s="222">
        <f t="shared" si="3"/>
        <v>28.760573402636176</v>
      </c>
      <c r="J67" s="34">
        <f t="shared" si="3"/>
        <v>28.17236020623932</v>
      </c>
    </row>
    <row r="68" spans="2:10" ht="12.75">
      <c r="B68" s="13" t="s">
        <v>43</v>
      </c>
      <c r="C68" s="121" t="s">
        <v>21</v>
      </c>
      <c r="D68" s="121"/>
      <c r="E68" s="34">
        <v>3.8366728700906307</v>
      </c>
      <c r="F68" s="34">
        <f t="shared" si="3"/>
        <v>3.7989175473585624</v>
      </c>
      <c r="G68" s="34">
        <f t="shared" si="3"/>
        <v>3.722845334431354</v>
      </c>
      <c r="H68" s="34">
        <f t="shared" si="3"/>
        <v>3.646773121504146</v>
      </c>
      <c r="I68" s="222">
        <f t="shared" si="3"/>
        <v>3.5707009085769377</v>
      </c>
      <c r="J68" s="34">
        <f t="shared" si="3"/>
        <v>3.4946286956497294</v>
      </c>
    </row>
    <row r="69" spans="2:10" ht="12.75">
      <c r="B69" s="13" t="s">
        <v>29</v>
      </c>
      <c r="C69" s="121" t="s">
        <v>21</v>
      </c>
      <c r="D69" s="121"/>
      <c r="E69" s="34">
        <v>0.00034111591131935626</v>
      </c>
      <c r="F69" s="34">
        <f t="shared" si="3"/>
        <v>0.5488224999016817</v>
      </c>
      <c r="G69" s="34">
        <f t="shared" si="3"/>
        <v>0.5377351766713447</v>
      </c>
      <c r="H69" s="34">
        <f t="shared" si="3"/>
        <v>0.5266478534410077</v>
      </c>
      <c r="I69" s="222">
        <f t="shared" si="3"/>
        <v>0.5155605302106707</v>
      </c>
      <c r="J69" s="34">
        <f t="shared" si="3"/>
        <v>0.5044732069803337</v>
      </c>
    </row>
    <row r="70" spans="2:10" ht="12.75">
      <c r="B70" s="13" t="s">
        <v>1</v>
      </c>
      <c r="C70" s="121" t="s">
        <v>21</v>
      </c>
      <c r="D70" s="121"/>
      <c r="E70" s="34">
        <v>0.1030987127078492</v>
      </c>
      <c r="F70" s="34">
        <f t="shared" si="3"/>
        <v>0.13794317851118454</v>
      </c>
      <c r="G70" s="34">
        <f t="shared" si="3"/>
        <v>0.13342965241771845</v>
      </c>
      <c r="H70" s="34">
        <f t="shared" si="3"/>
        <v>0.12891612632425237</v>
      </c>
      <c r="I70" s="222">
        <f t="shared" si="3"/>
        <v>0.12440260023078628</v>
      </c>
      <c r="J70" s="34">
        <f t="shared" si="3"/>
        <v>0.1198890741373202</v>
      </c>
    </row>
    <row r="71" spans="2:10" ht="12.75">
      <c r="B71" s="13" t="s">
        <v>10</v>
      </c>
      <c r="C71" s="121" t="s">
        <v>21</v>
      </c>
      <c r="D71" s="121"/>
      <c r="E71" s="34">
        <v>2.4287891164615002E-05</v>
      </c>
      <c r="F71" s="34">
        <f t="shared" si="3"/>
        <v>0.02589189395432169</v>
      </c>
      <c r="G71" s="34">
        <f t="shared" si="3"/>
        <v>0.02501420263383621</v>
      </c>
      <c r="H71" s="34">
        <f t="shared" si="3"/>
        <v>0.024136511313350727</v>
      </c>
      <c r="I71" s="222">
        <f t="shared" si="3"/>
        <v>0.023258819992865245</v>
      </c>
      <c r="J71" s="34">
        <f t="shared" si="3"/>
        <v>0.022381128672379763</v>
      </c>
    </row>
    <row r="72" spans="2:10" ht="12.75">
      <c r="B72" s="13" t="s">
        <v>8</v>
      </c>
      <c r="C72" s="121" t="s">
        <v>21</v>
      </c>
      <c r="D72" s="121"/>
      <c r="E72" s="34">
        <v>0.021586429956887976</v>
      </c>
      <c r="F72" s="34">
        <f t="shared" si="3"/>
        <v>0.05077861612079844</v>
      </c>
      <c r="G72" s="34">
        <f t="shared" si="3"/>
        <v>0.04911374346110013</v>
      </c>
      <c r="H72" s="34">
        <f t="shared" si="3"/>
        <v>0.047448870801401824</v>
      </c>
      <c r="I72" s="222">
        <f t="shared" si="3"/>
        <v>0.045783998141703516</v>
      </c>
      <c r="J72" s="34">
        <f t="shared" si="3"/>
        <v>0.04411912548200521</v>
      </c>
    </row>
    <row r="73" spans="2:10" ht="12.75">
      <c r="B73" s="13" t="s">
        <v>44</v>
      </c>
      <c r="C73" s="121" t="s">
        <v>21</v>
      </c>
      <c r="D73" s="121"/>
      <c r="E73" s="34">
        <v>66.22891800473505</v>
      </c>
      <c r="F73" s="34">
        <f t="shared" si="3"/>
        <v>64.30219446095792</v>
      </c>
      <c r="G73" s="34">
        <f t="shared" si="3"/>
        <v>60.44874737340366</v>
      </c>
      <c r="H73" s="34">
        <f t="shared" si="3"/>
        <v>56.595300285849405</v>
      </c>
      <c r="I73" s="222">
        <f t="shared" si="3"/>
        <v>52.741853198295146</v>
      </c>
      <c r="J73" s="34">
        <f t="shared" si="3"/>
        <v>48.88840611074089</v>
      </c>
    </row>
    <row r="74" spans="2:10" ht="12.75">
      <c r="B74" s="13" t="s">
        <v>22</v>
      </c>
      <c r="C74" s="121" t="s">
        <v>21</v>
      </c>
      <c r="D74" s="121"/>
      <c r="E74" s="34">
        <v>0.0031071401549991337</v>
      </c>
      <c r="F74" s="34">
        <f t="shared" si="3"/>
        <v>8.881784197001252E-16</v>
      </c>
      <c r="G74" s="34">
        <f t="shared" si="3"/>
        <v>6.459779801018396E-16</v>
      </c>
      <c r="H74" s="34">
        <f t="shared" si="3"/>
        <v>7.358366561574383E-16</v>
      </c>
      <c r="I74" s="222">
        <f t="shared" si="3"/>
        <v>7.34391053260791E-16</v>
      </c>
      <c r="J74" s="34">
        <f t="shared" si="3"/>
        <v>7.34391053260791E-16</v>
      </c>
    </row>
    <row r="75" spans="2:10" ht="12.75">
      <c r="B75" s="13" t="s">
        <v>2</v>
      </c>
      <c r="C75" s="121" t="s">
        <v>21</v>
      </c>
      <c r="D75" s="121"/>
      <c r="E75" s="34">
        <v>7.494005416219807E-16</v>
      </c>
      <c r="F75" s="34">
        <f t="shared" si="3"/>
        <v>6.938893903907228E-16</v>
      </c>
      <c r="G75" s="34">
        <f t="shared" si="3"/>
        <v>6.938893903907228E-16</v>
      </c>
      <c r="H75" s="34">
        <f t="shared" si="3"/>
        <v>6.938893903907228E-16</v>
      </c>
      <c r="I75" s="222">
        <f t="shared" si="3"/>
        <v>6.938893903907228E-16</v>
      </c>
      <c r="J75" s="34">
        <f t="shared" si="3"/>
        <v>6.938893903907228E-16</v>
      </c>
    </row>
    <row r="76" spans="2:10" ht="12.75">
      <c r="B76" s="13" t="s">
        <v>31</v>
      </c>
      <c r="C76" s="121" t="s">
        <v>21</v>
      </c>
      <c r="D76" s="121"/>
      <c r="E76" s="34">
        <v>0</v>
      </c>
      <c r="F76" s="34">
        <f t="shared" si="3"/>
        <v>4.440892098500626E-16</v>
      </c>
      <c r="G76" s="34">
        <f t="shared" si="3"/>
        <v>4.440892098500626E-16</v>
      </c>
      <c r="H76" s="34">
        <f t="shared" si="3"/>
        <v>4.440892098500626E-16</v>
      </c>
      <c r="I76" s="222">
        <f t="shared" si="3"/>
        <v>4.440892098500626E-16</v>
      </c>
      <c r="J76" s="34">
        <f t="shared" si="3"/>
        <v>4.440892098500626E-16</v>
      </c>
    </row>
    <row r="77" spans="2:10" ht="12.75">
      <c r="B77" s="13" t="s">
        <v>3</v>
      </c>
      <c r="C77" s="121" t="s">
        <v>21</v>
      </c>
      <c r="D77" s="121"/>
      <c r="E77" s="34">
        <v>0.551102308600417</v>
      </c>
      <c r="F77" s="34">
        <f t="shared" si="3"/>
        <v>0.551102308600417</v>
      </c>
      <c r="G77" s="34">
        <f t="shared" si="3"/>
        <v>0.551102308600417</v>
      </c>
      <c r="H77" s="34">
        <f t="shared" si="3"/>
        <v>0.551102308600417</v>
      </c>
      <c r="I77" s="222">
        <f t="shared" si="3"/>
        <v>0.551102308600417</v>
      </c>
      <c r="J77" s="34">
        <f t="shared" si="3"/>
        <v>0.551102308600417</v>
      </c>
    </row>
    <row r="78" spans="2:10" ht="12.75">
      <c r="B78" s="37"/>
      <c r="C78" s="121"/>
      <c r="D78" s="121"/>
      <c r="E78" s="56"/>
      <c r="F78" s="56"/>
      <c r="G78" s="56"/>
      <c r="H78" s="56"/>
      <c r="I78" s="217"/>
      <c r="J78" s="56"/>
    </row>
    <row r="79" spans="2:10" ht="12.75">
      <c r="B79" s="93"/>
      <c r="C79" s="121" t="s">
        <v>21</v>
      </c>
      <c r="D79" s="121"/>
      <c r="E79" s="92">
        <f aca="true" t="shared" si="4" ref="E79:J79">SUM(E66:E78)</f>
        <v>104.4997567247691</v>
      </c>
      <c r="F79" s="92">
        <f t="shared" si="4"/>
        <v>103.05165682160423</v>
      </c>
      <c r="G79" s="92">
        <f t="shared" si="4"/>
        <v>98.48753438487937</v>
      </c>
      <c r="H79" s="92">
        <f t="shared" si="4"/>
        <v>93.92341194815452</v>
      </c>
      <c r="I79" s="219">
        <f t="shared" si="4"/>
        <v>89.35928951142968</v>
      </c>
      <c r="J79" s="92">
        <f t="shared" si="4"/>
        <v>84.79516707470485</v>
      </c>
    </row>
    <row r="80" spans="2:11" ht="12.75">
      <c r="B80" s="102"/>
      <c r="C80" s="118"/>
      <c r="D80" s="118"/>
      <c r="E80" s="13"/>
      <c r="F80" s="13"/>
      <c r="G80" s="13"/>
      <c r="H80" s="13"/>
      <c r="I80" s="213"/>
      <c r="J80" s="168"/>
      <c r="K80"/>
    </row>
    <row r="81" spans="2:11" ht="12.75">
      <c r="B81" s="45" t="s">
        <v>63</v>
      </c>
      <c r="C81" s="118"/>
      <c r="D81" s="118"/>
      <c r="E81" s="13"/>
      <c r="F81" s="82"/>
      <c r="G81" s="13"/>
      <c r="H81" s="13"/>
      <c r="I81" s="213"/>
      <c r="J81" s="168"/>
      <c r="K81"/>
    </row>
    <row r="82" spans="2:11" ht="12.75">
      <c r="B82" s="102"/>
      <c r="C82" s="118"/>
      <c r="D82" s="118"/>
      <c r="E82" s="13"/>
      <c r="F82" s="82"/>
      <c r="G82" s="13"/>
      <c r="H82" s="13"/>
      <c r="I82" s="213"/>
      <c r="J82" s="168"/>
      <c r="K82"/>
    </row>
    <row r="83" spans="2:11" ht="12.75">
      <c r="B83" s="13" t="s">
        <v>19</v>
      </c>
      <c r="C83" s="121" t="s">
        <v>21</v>
      </c>
      <c r="D83" s="121"/>
      <c r="E83" s="92">
        <v>0.005223929288481772</v>
      </c>
      <c r="F83" s="92">
        <v>0.010447858576963544</v>
      </c>
      <c r="G83" s="92">
        <v>0.010447858576963544</v>
      </c>
      <c r="H83" s="92">
        <v>0.010447858576963542</v>
      </c>
      <c r="I83" s="219">
        <v>0.010447858576963544</v>
      </c>
      <c r="J83" s="168"/>
      <c r="K83"/>
    </row>
    <row r="84" spans="2:11" ht="12.75">
      <c r="B84" s="13" t="s">
        <v>20</v>
      </c>
      <c r="C84" s="121" t="s">
        <v>21</v>
      </c>
      <c r="D84" s="121"/>
      <c r="E84" s="92">
        <v>0.049651878774908405</v>
      </c>
      <c r="F84" s="92">
        <v>0.0993037575498168</v>
      </c>
      <c r="G84" s="92">
        <v>0.0993037575498168</v>
      </c>
      <c r="H84" s="92">
        <v>0.09930375754981681</v>
      </c>
      <c r="I84" s="219">
        <v>0.0993037575498168</v>
      </c>
      <c r="J84" s="168"/>
      <c r="K84"/>
    </row>
    <row r="85" spans="2:11" ht="12.75">
      <c r="B85" s="13" t="s">
        <v>43</v>
      </c>
      <c r="C85" s="121" t="s">
        <v>21</v>
      </c>
      <c r="D85" s="121"/>
      <c r="E85" s="92">
        <v>0.02330758649832533</v>
      </c>
      <c r="F85" s="92">
        <v>0.04661517299665067</v>
      </c>
      <c r="G85" s="92">
        <v>0.04661517299665066</v>
      </c>
      <c r="H85" s="92">
        <v>0.04661517299665067</v>
      </c>
      <c r="I85" s="219">
        <v>0.04661517299665066</v>
      </c>
      <c r="J85" s="168"/>
      <c r="K85"/>
    </row>
    <row r="86" spans="2:11" ht="12.75">
      <c r="B86" s="13" t="s">
        <v>29</v>
      </c>
      <c r="C86" s="121" t="s">
        <v>21</v>
      </c>
      <c r="D86" s="121"/>
      <c r="E86" s="92">
        <v>0.005543661615168504</v>
      </c>
      <c r="F86" s="92">
        <v>0.011087323230337008</v>
      </c>
      <c r="G86" s="92">
        <v>0.011087323230337008</v>
      </c>
      <c r="H86" s="92">
        <v>0.011087323230337008</v>
      </c>
      <c r="I86" s="219">
        <v>0.011087323230337008</v>
      </c>
      <c r="J86" s="168"/>
      <c r="K86"/>
    </row>
    <row r="87" spans="2:11" ht="12.75">
      <c r="B87" s="13" t="s">
        <v>1</v>
      </c>
      <c r="C87" s="121" t="s">
        <v>21</v>
      </c>
      <c r="D87" s="121"/>
      <c r="E87" s="92">
        <v>-0.007299063640991421</v>
      </c>
      <c r="F87" s="92">
        <v>0</v>
      </c>
      <c r="G87" s="92">
        <v>0</v>
      </c>
      <c r="H87" s="92">
        <v>0</v>
      </c>
      <c r="I87" s="219">
        <v>0</v>
      </c>
      <c r="J87" s="168"/>
      <c r="K87"/>
    </row>
    <row r="88" spans="2:11" ht="12.75">
      <c r="B88" s="13" t="s">
        <v>10</v>
      </c>
      <c r="C88" s="121" t="s">
        <v>21</v>
      </c>
      <c r="D88" s="121"/>
      <c r="E88" s="92">
        <v>0.00043884566024274057</v>
      </c>
      <c r="F88" s="92">
        <v>0.000877691320485481</v>
      </c>
      <c r="G88" s="92">
        <v>0.0008776913204854811</v>
      </c>
      <c r="H88" s="92">
        <v>0.0008776913204854812</v>
      </c>
      <c r="I88" s="219">
        <v>0.0008776913204854814</v>
      </c>
      <c r="J88" s="168"/>
      <c r="K88"/>
    </row>
    <row r="89" spans="2:11" ht="12.75">
      <c r="B89" s="13" t="s">
        <v>8</v>
      </c>
      <c r="C89" s="121" t="s">
        <v>21</v>
      </c>
      <c r="D89" s="121"/>
      <c r="E89" s="92">
        <v>-0.00889691093361215</v>
      </c>
      <c r="F89" s="92">
        <v>0</v>
      </c>
      <c r="G89" s="92">
        <v>0</v>
      </c>
      <c r="H89" s="92">
        <v>0</v>
      </c>
      <c r="I89" s="219">
        <v>0</v>
      </c>
      <c r="J89" s="168"/>
      <c r="K89"/>
    </row>
    <row r="90" spans="2:11" ht="12.75">
      <c r="B90" s="13" t="s">
        <v>44</v>
      </c>
      <c r="C90" s="121" t="s">
        <v>21</v>
      </c>
      <c r="D90" s="121"/>
      <c r="E90" s="92">
        <v>0.311522361634414</v>
      </c>
      <c r="F90" s="92">
        <v>0.6230447232688279</v>
      </c>
      <c r="G90" s="92">
        <v>0.6230447232688279</v>
      </c>
      <c r="H90" s="92">
        <v>0.6230447232688279</v>
      </c>
      <c r="I90" s="219">
        <v>0.6230447232688279</v>
      </c>
      <c r="J90" s="168"/>
      <c r="K90"/>
    </row>
    <row r="91" spans="2:11" ht="12.75">
      <c r="B91" s="13" t="s">
        <v>22</v>
      </c>
      <c r="C91" s="121" t="s">
        <v>21</v>
      </c>
      <c r="D91" s="121"/>
      <c r="E91" s="92">
        <v>3.721321595686689</v>
      </c>
      <c r="F91" s="92">
        <v>0</v>
      </c>
      <c r="G91" s="92">
        <v>0</v>
      </c>
      <c r="H91" s="92">
        <v>0</v>
      </c>
      <c r="I91" s="219">
        <v>0</v>
      </c>
      <c r="J91" s="168"/>
      <c r="K91"/>
    </row>
    <row r="92" spans="2:11" ht="12.75">
      <c r="B92" s="13" t="s">
        <v>2</v>
      </c>
      <c r="C92" s="121" t="s">
        <v>21</v>
      </c>
      <c r="D92" s="121"/>
      <c r="E92" s="92">
        <v>0</v>
      </c>
      <c r="F92" s="92">
        <v>0</v>
      </c>
      <c r="G92" s="92">
        <v>0</v>
      </c>
      <c r="H92" s="92">
        <v>0</v>
      </c>
      <c r="I92" s="219">
        <v>0</v>
      </c>
      <c r="J92" s="168"/>
      <c r="K92"/>
    </row>
    <row r="93" spans="2:11" ht="12.75">
      <c r="B93" s="13" t="s">
        <v>31</v>
      </c>
      <c r="C93" s="121" t="s">
        <v>21</v>
      </c>
      <c r="D93" s="121"/>
      <c r="E93" s="92">
        <v>0</v>
      </c>
      <c r="F93" s="92">
        <v>0</v>
      </c>
      <c r="G93" s="92">
        <v>0</v>
      </c>
      <c r="H93" s="92">
        <v>0</v>
      </c>
      <c r="I93" s="219">
        <v>0</v>
      </c>
      <c r="J93" s="168"/>
      <c r="K93"/>
    </row>
    <row r="94" spans="2:11" ht="12.75">
      <c r="B94" s="13" t="s">
        <v>3</v>
      </c>
      <c r="C94" s="121" t="s">
        <v>21</v>
      </c>
      <c r="D94" s="121"/>
      <c r="E94" s="48"/>
      <c r="F94" s="86"/>
      <c r="G94" s="86"/>
      <c r="H94" s="86"/>
      <c r="I94" s="223"/>
      <c r="J94" s="168"/>
      <c r="K94"/>
    </row>
    <row r="95" spans="2:11" ht="12.75">
      <c r="B95" s="93"/>
      <c r="C95" s="121"/>
      <c r="D95" s="121"/>
      <c r="E95" s="87"/>
      <c r="F95" s="87"/>
      <c r="G95" s="87"/>
      <c r="H95" s="87"/>
      <c r="I95" s="224"/>
      <c r="J95" s="168"/>
      <c r="K95"/>
    </row>
    <row r="96" spans="2:11" ht="12.75">
      <c r="B96" s="93"/>
      <c r="C96" s="121" t="s">
        <v>21</v>
      </c>
      <c r="D96" s="121"/>
      <c r="E96" s="92">
        <f>SUM(E83:E95)</f>
        <v>4.100813884583626</v>
      </c>
      <c r="F96" s="92">
        <f>SUM(F83:F95)</f>
        <v>0.7913765269430814</v>
      </c>
      <c r="G96" s="92">
        <f>SUM(G83:G95)</f>
        <v>0.7913765269430814</v>
      </c>
      <c r="H96" s="92">
        <f>SUM(H83:H95)</f>
        <v>0.7913765269430814</v>
      </c>
      <c r="I96" s="210">
        <f>SUM(I83:I95)</f>
        <v>0.7913765269430814</v>
      </c>
      <c r="J96" s="168"/>
      <c r="K96"/>
    </row>
    <row r="97" spans="2:11" ht="12.75">
      <c r="B97" s="93"/>
      <c r="C97" s="121"/>
      <c r="D97" s="121"/>
      <c r="E97" s="1"/>
      <c r="F97" s="1"/>
      <c r="G97" s="1"/>
      <c r="H97" s="1"/>
      <c r="I97" s="225"/>
      <c r="J97" s="168"/>
      <c r="K97"/>
    </row>
    <row r="98" spans="2:11" ht="12.75">
      <c r="B98" s="11" t="s">
        <v>64</v>
      </c>
      <c r="C98" s="121"/>
      <c r="D98" s="121"/>
      <c r="E98" s="1"/>
      <c r="F98" s="1"/>
      <c r="G98" s="1"/>
      <c r="H98" s="1"/>
      <c r="I98" s="225"/>
      <c r="J98" s="168"/>
      <c r="K98"/>
    </row>
    <row r="99" spans="2:11" ht="12.75">
      <c r="B99" s="93"/>
      <c r="C99" s="121"/>
      <c r="D99" s="121"/>
      <c r="E99" s="1"/>
      <c r="F99" s="1"/>
      <c r="G99" s="1"/>
      <c r="H99" s="1"/>
      <c r="I99" s="225"/>
      <c r="J99" s="168"/>
      <c r="K99"/>
    </row>
    <row r="100" spans="2:11" ht="12.75">
      <c r="B100" s="13" t="s">
        <v>19</v>
      </c>
      <c r="C100" s="121" t="s">
        <v>21</v>
      </c>
      <c r="D100" s="121"/>
      <c r="E100" s="92">
        <v>0.00889933398278309</v>
      </c>
      <c r="F100" s="92">
        <v>0.01779866796556618</v>
      </c>
      <c r="G100" s="92">
        <v>0.01779866796556618</v>
      </c>
      <c r="H100" s="92">
        <v>0.01779866796556618</v>
      </c>
      <c r="I100" s="219">
        <v>0.01779866796556618</v>
      </c>
      <c r="J100" s="168"/>
      <c r="K100"/>
    </row>
    <row r="101" spans="2:11" ht="12.75">
      <c r="B101" s="13" t="s">
        <v>20</v>
      </c>
      <c r="C101" s="121" t="s">
        <v>21</v>
      </c>
      <c r="D101" s="121"/>
      <c r="E101" s="92">
        <v>0.03793740246795669</v>
      </c>
      <c r="F101" s="92">
        <v>0.07587480493591338</v>
      </c>
      <c r="G101" s="92">
        <v>0.07587480493591338</v>
      </c>
      <c r="H101" s="92">
        <v>0.07587480493591338</v>
      </c>
      <c r="I101" s="219">
        <v>0.07587480493591338</v>
      </c>
      <c r="J101" s="168"/>
      <c r="K101"/>
    </row>
    <row r="102" spans="2:11" ht="12.75">
      <c r="B102" s="13" t="s">
        <v>43</v>
      </c>
      <c r="C102" s="121" t="s">
        <v>21</v>
      </c>
      <c r="D102" s="121"/>
      <c r="E102" s="92">
        <v>0.013495499844202194</v>
      </c>
      <c r="F102" s="92">
        <v>0.02699099968840439</v>
      </c>
      <c r="G102" s="92">
        <v>0.02699099968840439</v>
      </c>
      <c r="H102" s="92">
        <v>0.026990999688404387</v>
      </c>
      <c r="I102" s="219">
        <v>0.026990999688404387</v>
      </c>
      <c r="J102" s="168"/>
      <c r="K102"/>
    </row>
    <row r="103" spans="2:11" ht="12.75">
      <c r="B103" s="13" t="s">
        <v>29</v>
      </c>
      <c r="C103" s="121" t="s">
        <v>21</v>
      </c>
      <c r="D103" s="121"/>
      <c r="E103" s="92">
        <v>-0.21626615108611694</v>
      </c>
      <c r="F103" s="92">
        <v>0</v>
      </c>
      <c r="G103" s="92">
        <v>0</v>
      </c>
      <c r="H103" s="92">
        <v>0</v>
      </c>
      <c r="I103" s="219">
        <v>0</v>
      </c>
      <c r="J103" s="168"/>
      <c r="K103"/>
    </row>
    <row r="104" spans="2:11" ht="12.75">
      <c r="B104" s="13" t="s">
        <v>1</v>
      </c>
      <c r="C104" s="121" t="s">
        <v>21</v>
      </c>
      <c r="D104" s="121"/>
      <c r="E104" s="92">
        <v>0.0022099909366548993</v>
      </c>
      <c r="F104" s="92">
        <v>0.004419981873309798</v>
      </c>
      <c r="G104" s="92">
        <v>0.004419981873309798</v>
      </c>
      <c r="H104" s="92">
        <v>0.004419981873309798</v>
      </c>
      <c r="I104" s="219">
        <v>0.004419981873309798</v>
      </c>
      <c r="J104" s="168"/>
      <c r="K104"/>
    </row>
    <row r="105" spans="2:11" ht="12.75">
      <c r="B105" s="13" t="s">
        <v>10</v>
      </c>
      <c r="C105" s="121" t="s">
        <v>21</v>
      </c>
      <c r="D105" s="121"/>
      <c r="E105" s="92">
        <v>-0.026306431875216085</v>
      </c>
      <c r="F105" s="92">
        <v>0</v>
      </c>
      <c r="G105" s="92">
        <v>0</v>
      </c>
      <c r="H105" s="92">
        <v>0</v>
      </c>
      <c r="I105" s="219">
        <v>0</v>
      </c>
      <c r="J105" s="168"/>
      <c r="K105"/>
    </row>
    <row r="106" spans="2:11" ht="12.75">
      <c r="B106" s="13" t="s">
        <v>8</v>
      </c>
      <c r="C106" s="121" t="s">
        <v>21</v>
      </c>
      <c r="D106" s="121"/>
      <c r="E106" s="92">
        <v>0.0008324363298491547</v>
      </c>
      <c r="F106" s="92">
        <v>0.0016648726596983094</v>
      </c>
      <c r="G106" s="92">
        <v>0.0016648726596983096</v>
      </c>
      <c r="H106" s="92">
        <v>0.0016648726596983096</v>
      </c>
      <c r="I106" s="219">
        <v>0.0016648726596983094</v>
      </c>
      <c r="J106" s="168"/>
      <c r="K106"/>
    </row>
    <row r="107" spans="2:11" ht="12.75">
      <c r="B107" s="13" t="s">
        <v>44</v>
      </c>
      <c r="C107" s="121" t="s">
        <v>21</v>
      </c>
      <c r="D107" s="121"/>
      <c r="E107" s="92">
        <v>0.2638754335750819</v>
      </c>
      <c r="F107" s="92">
        <v>0.5277508671501638</v>
      </c>
      <c r="G107" s="92">
        <v>0.5277508671501638</v>
      </c>
      <c r="H107" s="92">
        <v>0.5277508671501637</v>
      </c>
      <c r="I107" s="219">
        <v>0.5277508671501638</v>
      </c>
      <c r="J107" s="168"/>
      <c r="K107"/>
    </row>
    <row r="108" spans="2:11" ht="12.75">
      <c r="B108" s="13" t="s">
        <v>22</v>
      </c>
      <c r="C108" s="121" t="s">
        <v>21</v>
      </c>
      <c r="D108" s="121"/>
      <c r="E108" s="92">
        <v>-2.3301565851752675</v>
      </c>
      <c r="F108" s="92">
        <v>2.220446049250313E-16</v>
      </c>
      <c r="G108" s="92">
        <v>-1.1102230246251565E-16</v>
      </c>
      <c r="H108" s="92">
        <v>0</v>
      </c>
      <c r="I108" s="219">
        <v>0</v>
      </c>
      <c r="J108" s="168"/>
      <c r="K108"/>
    </row>
    <row r="109" spans="2:11" ht="12.75">
      <c r="B109" s="13" t="s">
        <v>2</v>
      </c>
      <c r="C109" s="121" t="s">
        <v>21</v>
      </c>
      <c r="D109" s="121"/>
      <c r="E109" s="92">
        <v>1.1102230246251565E-16</v>
      </c>
      <c r="F109" s="92">
        <v>0</v>
      </c>
      <c r="G109" s="92">
        <v>0</v>
      </c>
      <c r="H109" s="92">
        <v>0</v>
      </c>
      <c r="I109" s="219">
        <v>0</v>
      </c>
      <c r="J109" s="168"/>
      <c r="K109"/>
    </row>
    <row r="110" spans="2:11" ht="12.75">
      <c r="B110" s="13" t="s">
        <v>31</v>
      </c>
      <c r="C110" s="121" t="s">
        <v>21</v>
      </c>
      <c r="D110" s="121"/>
      <c r="E110" s="92">
        <v>0</v>
      </c>
      <c r="F110" s="92">
        <v>0</v>
      </c>
      <c r="G110" s="92">
        <v>0</v>
      </c>
      <c r="H110" s="92">
        <v>0</v>
      </c>
      <c r="I110" s="219">
        <v>0</v>
      </c>
      <c r="J110" s="168"/>
      <c r="K110"/>
    </row>
    <row r="111" spans="2:11" ht="12.75">
      <c r="B111" s="13" t="s">
        <v>3</v>
      </c>
      <c r="C111" s="121" t="s">
        <v>21</v>
      </c>
      <c r="D111" s="121"/>
      <c r="E111" s="92"/>
      <c r="F111" s="92"/>
      <c r="G111" s="92"/>
      <c r="H111" s="92"/>
      <c r="I111" s="210"/>
      <c r="J111" s="168"/>
      <c r="K111"/>
    </row>
    <row r="112" spans="2:11" ht="12.75">
      <c r="B112" s="93"/>
      <c r="C112" s="121"/>
      <c r="D112" s="121"/>
      <c r="E112" s="56"/>
      <c r="F112" s="56"/>
      <c r="G112" s="56"/>
      <c r="H112" s="56"/>
      <c r="I112" s="220"/>
      <c r="J112" s="168"/>
      <c r="K112"/>
    </row>
    <row r="113" spans="2:11" ht="12.75">
      <c r="B113" s="93"/>
      <c r="C113" s="121" t="s">
        <v>21</v>
      </c>
      <c r="D113" s="121"/>
      <c r="E113" s="92">
        <f>SUM(E100:E112)</f>
        <v>-2.2454790710000725</v>
      </c>
      <c r="F113" s="92">
        <f>SUM(F100:F112)</f>
        <v>0.6545001942730562</v>
      </c>
      <c r="G113" s="92">
        <f>SUM(G100:G112)</f>
        <v>0.6545001942730558</v>
      </c>
      <c r="H113" s="92">
        <f>SUM(H100:H112)</f>
        <v>0.6545001942730557</v>
      </c>
      <c r="I113" s="210">
        <f>SUM(I100:I112)</f>
        <v>0.654500194273056</v>
      </c>
      <c r="J113" s="168"/>
      <c r="K113"/>
    </row>
    <row r="114" spans="2:11" ht="12.75">
      <c r="B114" s="93"/>
      <c r="C114" s="121"/>
      <c r="D114" s="121"/>
      <c r="E114" s="92"/>
      <c r="F114" s="92"/>
      <c r="G114" s="92"/>
      <c r="H114" s="92"/>
      <c r="I114" s="210"/>
      <c r="J114" s="168"/>
      <c r="K114"/>
    </row>
    <row r="115" spans="2:11" ht="12.75">
      <c r="B115" s="11" t="s">
        <v>66</v>
      </c>
      <c r="C115" s="121"/>
      <c r="D115" s="121"/>
      <c r="E115" s="1"/>
      <c r="F115" s="1"/>
      <c r="G115" s="1"/>
      <c r="H115" s="1"/>
      <c r="I115" s="225"/>
      <c r="J115" s="168"/>
      <c r="K115"/>
    </row>
    <row r="116" spans="2:11" ht="12.75">
      <c r="B116" s="93"/>
      <c r="C116" s="121"/>
      <c r="D116" s="121"/>
      <c r="E116" s="1"/>
      <c r="F116" s="1"/>
      <c r="G116" s="1"/>
      <c r="H116" s="1"/>
      <c r="I116" s="225"/>
      <c r="J116" s="168"/>
      <c r="K116"/>
    </row>
    <row r="117" spans="2:11" ht="12.75">
      <c r="B117" s="13" t="s">
        <v>19</v>
      </c>
      <c r="C117" s="121" t="s">
        <v>21</v>
      </c>
      <c r="D117" s="121"/>
      <c r="E117" s="92">
        <v>-0.10458974697339898</v>
      </c>
      <c r="F117" s="92">
        <v>0</v>
      </c>
      <c r="G117" s="92">
        <v>0</v>
      </c>
      <c r="H117" s="92">
        <v>0</v>
      </c>
      <c r="I117" s="219">
        <v>0</v>
      </c>
      <c r="J117" s="168"/>
      <c r="K117"/>
    </row>
    <row r="118" spans="2:11" ht="12.75">
      <c r="B118" s="13" t="s">
        <v>20</v>
      </c>
      <c r="C118" s="121" t="s">
        <v>21</v>
      </c>
      <c r="D118" s="121"/>
      <c r="E118" s="92">
        <v>0.044386243951006765</v>
      </c>
      <c r="F118" s="92">
        <v>0.08877248790201354</v>
      </c>
      <c r="G118" s="92">
        <v>0.08877248790201354</v>
      </c>
      <c r="H118" s="92">
        <v>0.08877248790201354</v>
      </c>
      <c r="I118" s="219">
        <v>0.08877248790201354</v>
      </c>
      <c r="J118" s="168"/>
      <c r="K118"/>
    </row>
    <row r="119" spans="2:11" ht="12.75">
      <c r="B119" s="13" t="s">
        <v>43</v>
      </c>
      <c r="C119" s="121" t="s">
        <v>21</v>
      </c>
      <c r="D119" s="121"/>
      <c r="E119" s="92">
        <v>0.0008780382988143649</v>
      </c>
      <c r="F119" s="92">
        <v>0.0017560765976287296</v>
      </c>
      <c r="G119" s="92">
        <v>0.0017560765976287296</v>
      </c>
      <c r="H119" s="92">
        <v>0.0017560765976287298</v>
      </c>
      <c r="I119" s="219">
        <v>0.0017560765976287296</v>
      </c>
      <c r="J119" s="168"/>
      <c r="K119"/>
    </row>
    <row r="120" spans="2:11" ht="12.75">
      <c r="B120" s="13" t="s">
        <v>29</v>
      </c>
      <c r="C120" s="121" t="s">
        <v>21</v>
      </c>
      <c r="D120" s="121"/>
      <c r="E120" s="92">
        <v>-0.16630572111751385</v>
      </c>
      <c r="F120" s="92">
        <v>0</v>
      </c>
      <c r="G120" s="92">
        <v>0</v>
      </c>
      <c r="H120" s="92">
        <v>0</v>
      </c>
      <c r="I120" s="219">
        <v>0</v>
      </c>
      <c r="J120" s="168"/>
      <c r="K120"/>
    </row>
    <row r="121" spans="2:11" ht="12.75">
      <c r="B121" s="13" t="s">
        <v>1</v>
      </c>
      <c r="C121" s="121" t="s">
        <v>21</v>
      </c>
      <c r="D121" s="121"/>
      <c r="E121" s="92">
        <v>-0.012440435576820591</v>
      </c>
      <c r="F121" s="92">
        <v>0</v>
      </c>
      <c r="G121" s="92">
        <v>0</v>
      </c>
      <c r="H121" s="92">
        <v>0</v>
      </c>
      <c r="I121" s="219">
        <v>0</v>
      </c>
      <c r="J121" s="168"/>
      <c r="K121"/>
    </row>
    <row r="122" spans="2:11" ht="12.75">
      <c r="B122" s="13" t="s">
        <v>10</v>
      </c>
      <c r="C122" s="121" t="s">
        <v>21</v>
      </c>
      <c r="D122" s="121"/>
      <c r="E122" s="92">
        <v>-1.0087109814993623E-08</v>
      </c>
      <c r="F122" s="92">
        <v>0</v>
      </c>
      <c r="G122" s="92">
        <v>0</v>
      </c>
      <c r="H122" s="92">
        <v>0</v>
      </c>
      <c r="I122" s="219">
        <v>0</v>
      </c>
      <c r="J122" s="168"/>
      <c r="K122"/>
    </row>
    <row r="123" spans="2:11" ht="12.75">
      <c r="B123" s="13" t="s">
        <v>8</v>
      </c>
      <c r="C123" s="121" t="s">
        <v>21</v>
      </c>
      <c r="D123" s="121"/>
      <c r="E123" s="92">
        <v>-0.010598279698666674</v>
      </c>
      <c r="F123" s="92">
        <v>0</v>
      </c>
      <c r="G123" s="92">
        <v>0</v>
      </c>
      <c r="H123" s="92">
        <v>0</v>
      </c>
      <c r="I123" s="219">
        <v>0</v>
      </c>
      <c r="J123" s="168"/>
      <c r="K123"/>
    </row>
    <row r="124" spans="2:11" ht="12.75">
      <c r="B124" s="13" t="s">
        <v>44</v>
      </c>
      <c r="C124" s="121" t="s">
        <v>21</v>
      </c>
      <c r="D124" s="121"/>
      <c r="E124" s="92">
        <v>0.4994385561321805</v>
      </c>
      <c r="F124" s="92">
        <v>0.9988771122643612</v>
      </c>
      <c r="G124" s="92">
        <v>0.998877112264361</v>
      </c>
      <c r="H124" s="92">
        <v>0.998877112264361</v>
      </c>
      <c r="I124" s="219">
        <v>0.998877112264361</v>
      </c>
      <c r="J124" s="168"/>
      <c r="K124"/>
    </row>
    <row r="125" spans="2:11" ht="12.75">
      <c r="B125" s="13" t="s">
        <v>22</v>
      </c>
      <c r="C125" s="121" t="s">
        <v>21</v>
      </c>
      <c r="D125" s="121"/>
      <c r="E125" s="92">
        <v>-0.819451640863055</v>
      </c>
      <c r="F125" s="92">
        <v>1.61907524424502E-17</v>
      </c>
      <c r="G125" s="92">
        <v>1.5612511283791264E-17</v>
      </c>
      <c r="H125" s="92">
        <v>-7.806255641895632E-18</v>
      </c>
      <c r="I125" s="219">
        <v>0</v>
      </c>
      <c r="J125" s="168"/>
      <c r="K125"/>
    </row>
    <row r="126" spans="2:11" ht="12.75">
      <c r="B126" s="13" t="s">
        <v>2</v>
      </c>
      <c r="C126" s="121" t="s">
        <v>21</v>
      </c>
      <c r="D126" s="121"/>
      <c r="E126" s="92">
        <v>0</v>
      </c>
      <c r="F126" s="92">
        <v>0</v>
      </c>
      <c r="G126" s="92">
        <v>0</v>
      </c>
      <c r="H126" s="92">
        <v>0</v>
      </c>
      <c r="I126" s="219">
        <v>0</v>
      </c>
      <c r="J126" s="168"/>
      <c r="K126"/>
    </row>
    <row r="127" spans="2:11" ht="12.75">
      <c r="B127" s="13" t="s">
        <v>31</v>
      </c>
      <c r="C127" s="121" t="s">
        <v>21</v>
      </c>
      <c r="D127" s="121"/>
      <c r="E127" s="92">
        <v>0</v>
      </c>
      <c r="F127" s="92">
        <v>0</v>
      </c>
      <c r="G127" s="92">
        <v>0</v>
      </c>
      <c r="H127" s="92">
        <v>0</v>
      </c>
      <c r="I127" s="219">
        <v>0</v>
      </c>
      <c r="J127" s="168"/>
      <c r="K127"/>
    </row>
    <row r="128" spans="2:11" ht="12.75">
      <c r="B128" s="13" t="s">
        <v>3</v>
      </c>
      <c r="C128" s="121" t="s">
        <v>21</v>
      </c>
      <c r="D128" s="121"/>
      <c r="E128" s="92"/>
      <c r="F128" s="92"/>
      <c r="G128" s="92"/>
      <c r="H128" s="92"/>
      <c r="I128" s="210"/>
      <c r="J128" s="168"/>
      <c r="K128"/>
    </row>
    <row r="129" spans="2:11" ht="12.75">
      <c r="B129" s="93"/>
      <c r="C129" s="121"/>
      <c r="D129" s="121"/>
      <c r="E129" s="56"/>
      <c r="F129" s="56"/>
      <c r="G129" s="56"/>
      <c r="H129" s="56"/>
      <c r="I129" s="220"/>
      <c r="J129" s="168"/>
      <c r="K129"/>
    </row>
    <row r="130" spans="2:11" ht="12.75">
      <c r="B130" s="93"/>
      <c r="C130" s="121" t="s">
        <v>21</v>
      </c>
      <c r="D130" s="121"/>
      <c r="E130" s="92">
        <f>SUM(E117:E129)</f>
        <v>-0.5686829959345633</v>
      </c>
      <c r="F130" s="92">
        <f>SUM(F117:F129)</f>
        <v>1.0894056767640035</v>
      </c>
      <c r="G130" s="92">
        <f>SUM(G117:G129)</f>
        <v>1.0894056767640032</v>
      </c>
      <c r="H130" s="92">
        <f>SUM(H117:H129)</f>
        <v>1.0894056767640032</v>
      </c>
      <c r="I130" s="210">
        <f>SUM(I117:I129)</f>
        <v>1.0894056767640032</v>
      </c>
      <c r="J130" s="168"/>
      <c r="K130"/>
    </row>
    <row r="131" spans="2:11" ht="12.75">
      <c r="B131" s="93"/>
      <c r="C131" s="121"/>
      <c r="D131" s="121"/>
      <c r="E131" s="92"/>
      <c r="F131" s="92"/>
      <c r="G131" s="92"/>
      <c r="H131" s="92"/>
      <c r="I131" s="210"/>
      <c r="J131" s="168"/>
      <c r="K131"/>
    </row>
    <row r="132" spans="2:11" ht="12.75">
      <c r="B132" s="11" t="s">
        <v>73</v>
      </c>
      <c r="C132" s="121"/>
      <c r="D132" s="121"/>
      <c r="E132" s="1"/>
      <c r="F132" s="1"/>
      <c r="G132" s="1"/>
      <c r="H132" s="1"/>
      <c r="I132" s="225"/>
      <c r="J132" s="168"/>
      <c r="K132"/>
    </row>
    <row r="133" spans="2:11" ht="12.75">
      <c r="B133" s="93"/>
      <c r="C133" s="121"/>
      <c r="D133" s="121"/>
      <c r="E133" s="1"/>
      <c r="F133" s="1"/>
      <c r="G133" s="1"/>
      <c r="H133" s="1"/>
      <c r="I133" s="225"/>
      <c r="J133" s="168"/>
      <c r="K133"/>
    </row>
    <row r="134" spans="2:11" ht="12.75">
      <c r="B134" s="13" t="s">
        <v>19</v>
      </c>
      <c r="C134" s="121" t="s">
        <v>21</v>
      </c>
      <c r="D134" s="121"/>
      <c r="E134" s="92">
        <v>-0.05995035879034846</v>
      </c>
      <c r="F134" s="92">
        <v>0</v>
      </c>
      <c r="G134" s="92">
        <v>0</v>
      </c>
      <c r="H134" s="92">
        <v>0</v>
      </c>
      <c r="I134" s="219">
        <v>0</v>
      </c>
      <c r="J134" s="168"/>
      <c r="K134"/>
    </row>
    <row r="135" spans="2:11" ht="12.75">
      <c r="B135" s="13" t="s">
        <v>20</v>
      </c>
      <c r="C135" s="121" t="s">
        <v>21</v>
      </c>
      <c r="D135" s="121"/>
      <c r="E135" s="92">
        <v>0.07090429729707974</v>
      </c>
      <c r="F135" s="92">
        <v>0.1418085945941595</v>
      </c>
      <c r="G135" s="92">
        <v>0.1418085945941595</v>
      </c>
      <c r="H135" s="92">
        <v>0.14180859459415948</v>
      </c>
      <c r="I135" s="219">
        <v>0.1418085945941595</v>
      </c>
      <c r="J135" s="168"/>
      <c r="K135"/>
    </row>
    <row r="136" spans="2:11" ht="12.75">
      <c r="B136" s="13" t="s">
        <v>43</v>
      </c>
      <c r="C136" s="121" t="s">
        <v>21</v>
      </c>
      <c r="D136" s="121"/>
      <c r="E136" s="92">
        <v>-0.0002807837315360277</v>
      </c>
      <c r="F136" s="92">
        <v>0</v>
      </c>
      <c r="G136" s="92">
        <v>0</v>
      </c>
      <c r="H136" s="92">
        <v>0</v>
      </c>
      <c r="I136" s="219">
        <v>0</v>
      </c>
      <c r="J136" s="168"/>
      <c r="K136"/>
    </row>
    <row r="137" spans="2:11" ht="12.75">
      <c r="B137" s="13" t="s">
        <v>29</v>
      </c>
      <c r="C137" s="121" t="s">
        <v>21</v>
      </c>
      <c r="D137" s="121"/>
      <c r="E137" s="92">
        <v>-0.11314687319174589</v>
      </c>
      <c r="F137" s="92">
        <v>0</v>
      </c>
      <c r="G137" s="92">
        <v>0</v>
      </c>
      <c r="H137" s="92">
        <v>0</v>
      </c>
      <c r="I137" s="219">
        <v>0</v>
      </c>
      <c r="J137" s="168"/>
      <c r="K137"/>
    </row>
    <row r="138" spans="2:11" ht="12.75">
      <c r="B138" s="13" t="s">
        <v>1</v>
      </c>
      <c r="C138" s="121" t="s">
        <v>21</v>
      </c>
      <c r="D138" s="121"/>
      <c r="E138" s="92">
        <v>-0.017361729632256375</v>
      </c>
      <c r="F138" s="92">
        <v>0</v>
      </c>
      <c r="G138" s="92">
        <v>0</v>
      </c>
      <c r="H138" s="92">
        <v>0</v>
      </c>
      <c r="I138" s="219">
        <v>0</v>
      </c>
      <c r="J138" s="168"/>
      <c r="K138"/>
    </row>
    <row r="139" spans="2:11" ht="12.75">
      <c r="B139" s="13" t="s">
        <v>10</v>
      </c>
      <c r="C139" s="121" t="s">
        <v>21</v>
      </c>
      <c r="D139" s="121"/>
      <c r="E139" s="92">
        <v>-6.560721812084289E-09</v>
      </c>
      <c r="F139" s="92">
        <v>0</v>
      </c>
      <c r="G139" s="92">
        <v>0</v>
      </c>
      <c r="H139" s="92">
        <v>0</v>
      </c>
      <c r="I139" s="219">
        <v>0</v>
      </c>
      <c r="J139" s="168"/>
      <c r="K139"/>
    </row>
    <row r="140" spans="2:11" ht="12.75">
      <c r="B140" s="13" t="s">
        <v>8</v>
      </c>
      <c r="C140" s="121" t="s">
        <v>21</v>
      </c>
      <c r="D140" s="121"/>
      <c r="E140" s="92">
        <v>-0.007031053848871541</v>
      </c>
      <c r="F140" s="92">
        <v>0</v>
      </c>
      <c r="G140" s="92">
        <v>0</v>
      </c>
      <c r="H140" s="92">
        <v>0</v>
      </c>
      <c r="I140" s="219">
        <v>0</v>
      </c>
      <c r="J140" s="168"/>
      <c r="K140"/>
    </row>
    <row r="141" spans="2:11" ht="12.75">
      <c r="B141" s="13" t="s">
        <v>44</v>
      </c>
      <c r="C141" s="121" t="s">
        <v>21</v>
      </c>
      <c r="D141" s="121"/>
      <c r="E141" s="92">
        <v>0.4566954698707101</v>
      </c>
      <c r="F141" s="92">
        <v>0.91339093974142</v>
      </c>
      <c r="G141" s="92">
        <v>0.9133909397414202</v>
      </c>
      <c r="H141" s="92">
        <v>0.9133909397414199</v>
      </c>
      <c r="I141" s="219">
        <v>0.91339093974142</v>
      </c>
      <c r="J141" s="168"/>
      <c r="K141"/>
    </row>
    <row r="142" spans="2:11" ht="12.75">
      <c r="B142" s="13" t="s">
        <v>22</v>
      </c>
      <c r="C142" s="121" t="s">
        <v>21</v>
      </c>
      <c r="D142" s="121"/>
      <c r="E142" s="92">
        <v>-0.37680246893593833</v>
      </c>
      <c r="F142" s="92">
        <v>0</v>
      </c>
      <c r="G142" s="92">
        <v>0</v>
      </c>
      <c r="H142" s="92">
        <v>0</v>
      </c>
      <c r="I142" s="219">
        <v>0</v>
      </c>
      <c r="J142" s="168"/>
      <c r="K142"/>
    </row>
    <row r="143" spans="2:11" ht="12.75">
      <c r="B143" s="13" t="s">
        <v>2</v>
      </c>
      <c r="C143" s="121" t="s">
        <v>21</v>
      </c>
      <c r="D143" s="121"/>
      <c r="E143" s="92">
        <v>-5.551115123125783E-17</v>
      </c>
      <c r="F143" s="92">
        <v>0</v>
      </c>
      <c r="G143" s="92">
        <v>0</v>
      </c>
      <c r="H143" s="92">
        <v>0</v>
      </c>
      <c r="I143" s="219">
        <v>0</v>
      </c>
      <c r="J143" s="168"/>
      <c r="K143"/>
    </row>
    <row r="144" spans="2:11" ht="12.75">
      <c r="B144" s="13" t="s">
        <v>31</v>
      </c>
      <c r="C144" s="121" t="s">
        <v>21</v>
      </c>
      <c r="D144" s="121"/>
      <c r="E144" s="92">
        <v>-4.440892098500626E-16</v>
      </c>
      <c r="F144" s="92">
        <v>0</v>
      </c>
      <c r="G144" s="92">
        <v>0</v>
      </c>
      <c r="H144" s="92">
        <v>0</v>
      </c>
      <c r="I144" s="219">
        <v>0</v>
      </c>
      <c r="J144" s="168"/>
      <c r="K144"/>
    </row>
    <row r="145" spans="2:11" ht="12.75">
      <c r="B145" s="13" t="s">
        <v>3</v>
      </c>
      <c r="C145" s="121" t="s">
        <v>21</v>
      </c>
      <c r="D145" s="121"/>
      <c r="E145" s="92"/>
      <c r="F145" s="92"/>
      <c r="G145" s="92"/>
      <c r="H145" s="92"/>
      <c r="I145" s="210"/>
      <c r="J145" s="168"/>
      <c r="K145"/>
    </row>
    <row r="146" spans="2:11" ht="12.75">
      <c r="B146" s="93"/>
      <c r="C146" s="121"/>
      <c r="D146" s="121"/>
      <c r="E146" s="56"/>
      <c r="F146" s="56"/>
      <c r="G146" s="56"/>
      <c r="H146" s="56"/>
      <c r="I146" s="220"/>
      <c r="J146" s="168"/>
      <c r="K146"/>
    </row>
    <row r="147" spans="2:11" ht="12.75">
      <c r="B147" s="93"/>
      <c r="C147" s="121" t="s">
        <v>21</v>
      </c>
      <c r="D147" s="121"/>
      <c r="E147" s="92">
        <f>SUM(E134:E146)</f>
        <v>-0.046973507523629165</v>
      </c>
      <c r="F147" s="92">
        <f>SUM(F134:F146)</f>
        <v>1.0551995343355796</v>
      </c>
      <c r="G147" s="92">
        <f>SUM(G134:G146)</f>
        <v>1.0551995343355798</v>
      </c>
      <c r="H147" s="92">
        <f>SUM(H134:H146)</f>
        <v>1.0551995343355793</v>
      </c>
      <c r="I147" s="210">
        <f>SUM(I134:I146)</f>
        <v>1.0551995343355796</v>
      </c>
      <c r="J147" s="168"/>
      <c r="K147"/>
    </row>
    <row r="148" spans="2:11" ht="12.75">
      <c r="B148" s="93"/>
      <c r="C148" s="121"/>
      <c r="D148" s="121"/>
      <c r="E148" s="92"/>
      <c r="F148" s="92"/>
      <c r="G148" s="92"/>
      <c r="H148" s="92"/>
      <c r="I148" s="210"/>
      <c r="J148" s="168"/>
      <c r="K148"/>
    </row>
    <row r="149" spans="2:11" ht="12.75">
      <c r="B149" s="11" t="s">
        <v>67</v>
      </c>
      <c r="C149" s="121"/>
      <c r="D149" s="121"/>
      <c r="E149" s="1"/>
      <c r="F149" s="1"/>
      <c r="G149" s="1"/>
      <c r="H149" s="1"/>
      <c r="I149" s="210"/>
      <c r="J149" s="168"/>
      <c r="K149"/>
    </row>
    <row r="150" spans="2:11" ht="12.75">
      <c r="B150" s="93"/>
      <c r="C150" s="121"/>
      <c r="D150" s="121"/>
      <c r="E150" s="1"/>
      <c r="F150" s="1"/>
      <c r="G150" s="1"/>
      <c r="H150" s="1"/>
      <c r="I150" s="210"/>
      <c r="J150" s="168"/>
      <c r="K150"/>
    </row>
    <row r="151" spans="2:11" ht="12.75">
      <c r="B151" s="13" t="s">
        <v>19</v>
      </c>
      <c r="C151" s="121" t="s">
        <v>21</v>
      </c>
      <c r="D151" s="121"/>
      <c r="E151" s="92">
        <v>-0.02479021718449407</v>
      </c>
      <c r="F151" s="92">
        <v>0</v>
      </c>
      <c r="G151" s="92">
        <v>0</v>
      </c>
      <c r="H151" s="92">
        <v>0</v>
      </c>
      <c r="I151" s="219">
        <v>0</v>
      </c>
      <c r="J151" s="168"/>
      <c r="K151"/>
    </row>
    <row r="152" spans="2:11" ht="12.75">
      <c r="B152" s="13" t="s">
        <v>20</v>
      </c>
      <c r="C152" s="121" t="s">
        <v>21</v>
      </c>
      <c r="D152" s="121"/>
      <c r="E152" s="92">
        <v>0.0912267757074779</v>
      </c>
      <c r="F152" s="92">
        <v>0.18245355141495584</v>
      </c>
      <c r="G152" s="92">
        <v>0.18245355141495584</v>
      </c>
      <c r="H152" s="92">
        <v>0.1824535514149558</v>
      </c>
      <c r="I152" s="219">
        <v>0.18245355141495584</v>
      </c>
      <c r="J152" s="168"/>
      <c r="K152"/>
    </row>
    <row r="153" spans="2:11" ht="12.75">
      <c r="B153" s="13" t="s">
        <v>43</v>
      </c>
      <c r="C153" s="121" t="s">
        <v>21</v>
      </c>
      <c r="D153" s="121"/>
      <c r="E153" s="92">
        <v>0.00035498182226222655</v>
      </c>
      <c r="F153" s="92">
        <v>0.0007099636445244531</v>
      </c>
      <c r="G153" s="92">
        <v>0.0007099636445244532</v>
      </c>
      <c r="H153" s="92">
        <v>0.0007099636445244532</v>
      </c>
      <c r="I153" s="219">
        <v>0.0007099636445244531</v>
      </c>
      <c r="J153" s="168"/>
      <c r="K153"/>
    </row>
    <row r="154" spans="2:11" ht="12.75">
      <c r="B154" s="13" t="s">
        <v>29</v>
      </c>
      <c r="C154" s="121" t="s">
        <v>21</v>
      </c>
      <c r="D154" s="121"/>
      <c r="E154" s="92">
        <v>-0.05830630021015427</v>
      </c>
      <c r="F154" s="92">
        <v>0</v>
      </c>
      <c r="G154" s="92">
        <v>0</v>
      </c>
      <c r="H154" s="92">
        <v>0</v>
      </c>
      <c r="I154" s="219">
        <v>0</v>
      </c>
      <c r="J154" s="168"/>
      <c r="K154"/>
    </row>
    <row r="155" spans="2:11" ht="12.75">
      <c r="B155" s="13" t="s">
        <v>1</v>
      </c>
      <c r="C155" s="121" t="s">
        <v>21</v>
      </c>
      <c r="D155" s="121"/>
      <c r="E155" s="92">
        <v>4.677211007814487E-05</v>
      </c>
      <c r="F155" s="92">
        <v>9.354422015628973E-05</v>
      </c>
      <c r="G155" s="92">
        <v>9.354422015628972E-05</v>
      </c>
      <c r="H155" s="92">
        <v>9.354422015628972E-05</v>
      </c>
      <c r="I155" s="219">
        <v>9.354422015628971E-05</v>
      </c>
      <c r="J155" s="168"/>
      <c r="K155"/>
    </row>
    <row r="156" spans="2:11" ht="12.75">
      <c r="B156" s="13" t="s">
        <v>10</v>
      </c>
      <c r="C156" s="121" t="s">
        <v>21</v>
      </c>
      <c r="D156" s="121"/>
      <c r="E156" s="92">
        <v>-3.200352105256313E-09</v>
      </c>
      <c r="F156" s="92">
        <v>0</v>
      </c>
      <c r="G156" s="92">
        <v>0</v>
      </c>
      <c r="H156" s="92">
        <v>0</v>
      </c>
      <c r="I156" s="219">
        <v>0</v>
      </c>
      <c r="J156" s="168"/>
      <c r="K156"/>
    </row>
    <row r="157" spans="2:11" ht="12.75">
      <c r="B157" s="13" t="s">
        <v>8</v>
      </c>
      <c r="C157" s="121" t="s">
        <v>21</v>
      </c>
      <c r="D157" s="121"/>
      <c r="E157" s="92">
        <v>-0.0034983780126092573</v>
      </c>
      <c r="F157" s="92">
        <v>0</v>
      </c>
      <c r="G157" s="92">
        <v>0</v>
      </c>
      <c r="H157" s="92">
        <v>0</v>
      </c>
      <c r="I157" s="219">
        <v>0</v>
      </c>
      <c r="J157" s="168"/>
      <c r="K157"/>
    </row>
    <row r="158" spans="2:11" ht="12.75">
      <c r="B158" s="13" t="s">
        <v>44</v>
      </c>
      <c r="C158" s="121" t="s">
        <v>21</v>
      </c>
      <c r="D158" s="121"/>
      <c r="E158" s="92">
        <v>0.3951917225647456</v>
      </c>
      <c r="F158" s="92">
        <v>0.7903834451294912</v>
      </c>
      <c r="G158" s="92">
        <v>0.7903834451294912</v>
      </c>
      <c r="H158" s="92">
        <v>0.7903834451294912</v>
      </c>
      <c r="I158" s="219">
        <v>0.7903834451294913</v>
      </c>
      <c r="J158" s="168"/>
      <c r="K158"/>
    </row>
    <row r="159" spans="2:11" ht="12.75">
      <c r="B159" s="13" t="s">
        <v>22</v>
      </c>
      <c r="C159" s="121" t="s">
        <v>21</v>
      </c>
      <c r="D159" s="121"/>
      <c r="E159" s="92">
        <v>-0.19180376055742993</v>
      </c>
      <c r="F159" s="92">
        <v>3.96508223080413E-18</v>
      </c>
      <c r="G159" s="92">
        <v>5.551115123125783E-18</v>
      </c>
      <c r="H159" s="92">
        <v>9.25185853854297E-18</v>
      </c>
      <c r="I159" s="219">
        <v>0</v>
      </c>
      <c r="J159" s="168"/>
      <c r="K159"/>
    </row>
    <row r="160" spans="2:11" ht="12.75">
      <c r="B160" s="13" t="s">
        <v>2</v>
      </c>
      <c r="C160" s="121" t="s">
        <v>21</v>
      </c>
      <c r="D160" s="121"/>
      <c r="E160" s="92">
        <v>0</v>
      </c>
      <c r="F160" s="92">
        <v>0</v>
      </c>
      <c r="G160" s="92">
        <v>0</v>
      </c>
      <c r="H160" s="92">
        <v>0</v>
      </c>
      <c r="I160" s="219">
        <v>0</v>
      </c>
      <c r="J160" s="168"/>
      <c r="K160"/>
    </row>
    <row r="161" spans="2:11" ht="12.75">
      <c r="B161" s="13" t="s">
        <v>31</v>
      </c>
      <c r="C161" s="121" t="s">
        <v>21</v>
      </c>
      <c r="D161" s="121"/>
      <c r="E161" s="92">
        <v>0</v>
      </c>
      <c r="F161" s="92">
        <v>0</v>
      </c>
      <c r="G161" s="92">
        <v>0</v>
      </c>
      <c r="H161" s="92">
        <v>0</v>
      </c>
      <c r="I161" s="219">
        <v>0</v>
      </c>
      <c r="J161" s="168"/>
      <c r="K161"/>
    </row>
    <row r="162" spans="2:11" ht="12.75">
      <c r="B162" s="13" t="s">
        <v>3</v>
      </c>
      <c r="C162" s="121" t="s">
        <v>21</v>
      </c>
      <c r="D162" s="121"/>
      <c r="E162" s="92"/>
      <c r="F162" s="92"/>
      <c r="G162" s="92"/>
      <c r="H162" s="92"/>
      <c r="I162" s="210"/>
      <c r="J162" s="168"/>
      <c r="K162"/>
    </row>
    <row r="163" spans="2:11" ht="12.75">
      <c r="B163" s="93"/>
      <c r="C163" s="121"/>
      <c r="D163" s="121"/>
      <c r="E163" s="56"/>
      <c r="F163" s="56"/>
      <c r="G163" s="56"/>
      <c r="H163" s="56"/>
      <c r="I163" s="220"/>
      <c r="J163" s="168"/>
      <c r="K163"/>
    </row>
    <row r="164" spans="2:11" ht="12.75">
      <c r="B164" s="93"/>
      <c r="C164" s="121" t="s">
        <v>21</v>
      </c>
      <c r="D164" s="121"/>
      <c r="E164" s="92">
        <f>SUM(E151:E163)</f>
        <v>0.20842159303952423</v>
      </c>
      <c r="F164" s="92">
        <f>SUM(F151:F163)</f>
        <v>0.9736405044091277</v>
      </c>
      <c r="G164" s="92">
        <f>SUM(G151:G163)</f>
        <v>0.9736405044091277</v>
      </c>
      <c r="H164" s="92">
        <f>SUM(H151:H163)</f>
        <v>0.9736405044091277</v>
      </c>
      <c r="I164" s="210">
        <f>SUM(I151:I163)</f>
        <v>0.9736405044091279</v>
      </c>
      <c r="J164" s="168"/>
      <c r="K164"/>
    </row>
    <row r="165" spans="2:11" ht="12.75">
      <c r="B165" s="93"/>
      <c r="C165" s="121"/>
      <c r="D165" s="121"/>
      <c r="E165" s="92"/>
      <c r="F165" s="92"/>
      <c r="G165" s="92"/>
      <c r="H165" s="92"/>
      <c r="I165" s="210"/>
      <c r="J165" s="168"/>
      <c r="K165"/>
    </row>
    <row r="166" spans="2:10" ht="12.75">
      <c r="B166" s="93"/>
      <c r="C166" s="121"/>
      <c r="D166" s="121"/>
      <c r="E166" s="57"/>
      <c r="F166" s="57"/>
      <c r="G166" s="57"/>
      <c r="H166" s="57"/>
      <c r="I166" s="210"/>
      <c r="J166" s="57"/>
    </row>
    <row r="167" spans="1:10" s="30" customFormat="1" ht="12.75">
      <c r="A167" s="13"/>
      <c r="B167" s="113" t="s">
        <v>61</v>
      </c>
      <c r="C167" s="122"/>
      <c r="D167" s="122"/>
      <c r="E167" s="114"/>
      <c r="F167" s="112"/>
      <c r="G167" s="112"/>
      <c r="H167" s="112"/>
      <c r="I167" s="221"/>
      <c r="J167" s="114"/>
    </row>
    <row r="168" spans="2:10" ht="12.75">
      <c r="B168" s="25" t="s">
        <v>128</v>
      </c>
      <c r="C168" s="121"/>
      <c r="D168" s="121"/>
      <c r="E168" s="57"/>
      <c r="F168" s="57"/>
      <c r="G168" s="57"/>
      <c r="H168" s="57"/>
      <c r="I168" s="210"/>
      <c r="J168" s="57"/>
    </row>
    <row r="169" spans="2:10" ht="12.75">
      <c r="B169" s="13" t="s">
        <v>19</v>
      </c>
      <c r="C169" s="121" t="s">
        <v>21</v>
      </c>
      <c r="D169" s="121"/>
      <c r="E169" s="57">
        <v>16.39849060365835</v>
      </c>
      <c r="F169" s="57">
        <f aca="true" t="shared" si="5" ref="F169:J180">E169-E186-E203-E220-E237-E254</f>
        <v>16.3296988264112</v>
      </c>
      <c r="G169" s="57">
        <f t="shared" si="5"/>
        <v>16.192115271916897</v>
      </c>
      <c r="H169" s="57">
        <f t="shared" si="5"/>
        <v>16.054531717422595</v>
      </c>
      <c r="I169" s="210">
        <f t="shared" si="5"/>
        <v>15.916948162928291</v>
      </c>
      <c r="J169" s="57">
        <f t="shared" si="5"/>
        <v>15.779364608433985</v>
      </c>
    </row>
    <row r="170" spans="2:10" ht="12.75">
      <c r="B170" s="13" t="s">
        <v>20</v>
      </c>
      <c r="C170" s="121" t="s">
        <v>21</v>
      </c>
      <c r="D170" s="121"/>
      <c r="E170" s="57">
        <v>-1.0162315637570156</v>
      </c>
      <c r="F170" s="57">
        <f t="shared" si="5"/>
        <v>1.3877787807814457E-17</v>
      </c>
      <c r="G170" s="57">
        <f t="shared" si="5"/>
        <v>1.3877787807814457E-17</v>
      </c>
      <c r="H170" s="57">
        <f t="shared" si="5"/>
        <v>1.3877787807814457E-17</v>
      </c>
      <c r="I170" s="210">
        <f t="shared" si="5"/>
        <v>1.3877787807814457E-17</v>
      </c>
      <c r="J170" s="57">
        <f t="shared" si="5"/>
        <v>1.3877787807814457E-17</v>
      </c>
    </row>
    <row r="171" spans="2:10" ht="12.75">
      <c r="B171" s="13" t="s">
        <v>43</v>
      </c>
      <c r="C171" s="121" t="s">
        <v>21</v>
      </c>
      <c r="D171" s="121"/>
      <c r="E171" s="57">
        <v>51.68823587615505</v>
      </c>
      <c r="F171" s="57">
        <f t="shared" si="5"/>
        <v>51.24329860845627</v>
      </c>
      <c r="G171" s="57">
        <f t="shared" si="5"/>
        <v>50.3534240730587</v>
      </c>
      <c r="H171" s="57">
        <f t="shared" si="5"/>
        <v>49.46354953766112</v>
      </c>
      <c r="I171" s="210">
        <f t="shared" si="5"/>
        <v>48.57367500226355</v>
      </c>
      <c r="J171" s="57">
        <f t="shared" si="5"/>
        <v>47.683800466865975</v>
      </c>
    </row>
    <row r="172" spans="2:10" ht="12.75">
      <c r="B172" s="13" t="s">
        <v>29</v>
      </c>
      <c r="C172" s="121" t="s">
        <v>21</v>
      </c>
      <c r="D172" s="121"/>
      <c r="E172" s="57">
        <v>0</v>
      </c>
      <c r="F172" s="57">
        <f t="shared" si="5"/>
        <v>0</v>
      </c>
      <c r="G172" s="57">
        <f t="shared" si="5"/>
        <v>0</v>
      </c>
      <c r="H172" s="57">
        <f t="shared" si="5"/>
        <v>0</v>
      </c>
      <c r="I172" s="210">
        <f t="shared" si="5"/>
        <v>0</v>
      </c>
      <c r="J172" s="57">
        <f t="shared" si="5"/>
        <v>0</v>
      </c>
    </row>
    <row r="173" spans="2:10" ht="12.75">
      <c r="B173" s="13" t="s">
        <v>1</v>
      </c>
      <c r="C173" s="121" t="s">
        <v>21</v>
      </c>
      <c r="D173" s="121"/>
      <c r="E173" s="57">
        <v>2.6598923923964515</v>
      </c>
      <c r="F173" s="57">
        <f t="shared" si="5"/>
        <v>2.6251910803686402</v>
      </c>
      <c r="G173" s="57">
        <f t="shared" si="5"/>
        <v>2.5557884563130178</v>
      </c>
      <c r="H173" s="57">
        <f t="shared" si="5"/>
        <v>2.4863858322573953</v>
      </c>
      <c r="I173" s="210">
        <f t="shared" si="5"/>
        <v>2.416983208201773</v>
      </c>
      <c r="J173" s="57">
        <f t="shared" si="5"/>
        <v>2.3475805841461503</v>
      </c>
    </row>
    <row r="174" spans="2:10" ht="12.75">
      <c r="B174" s="13" t="s">
        <v>10</v>
      </c>
      <c r="C174" s="121" t="s">
        <v>21</v>
      </c>
      <c r="D174" s="121"/>
      <c r="E174" s="57">
        <v>1.6114336784301788</v>
      </c>
      <c r="F174" s="57">
        <f t="shared" si="5"/>
        <v>1.593241001001699</v>
      </c>
      <c r="G174" s="57">
        <f t="shared" si="5"/>
        <v>1.5528977571328144</v>
      </c>
      <c r="H174" s="57">
        <f t="shared" si="5"/>
        <v>1.5125545132639298</v>
      </c>
      <c r="I174" s="210">
        <f t="shared" si="5"/>
        <v>1.472211269395045</v>
      </c>
      <c r="J174" s="57">
        <f t="shared" si="5"/>
        <v>1.4318680255261604</v>
      </c>
    </row>
    <row r="175" spans="2:10" ht="12.75">
      <c r="B175" s="13" t="s">
        <v>8</v>
      </c>
      <c r="C175" s="121" t="s">
        <v>21</v>
      </c>
      <c r="D175" s="121"/>
      <c r="E175" s="57">
        <v>0.28225282884955705</v>
      </c>
      <c r="F175" s="57">
        <f t="shared" si="5"/>
        <v>0.281273839410277</v>
      </c>
      <c r="G175" s="57">
        <f t="shared" si="5"/>
        <v>0.2740216495439099</v>
      </c>
      <c r="H175" s="57">
        <f t="shared" si="5"/>
        <v>0.2667694596775428</v>
      </c>
      <c r="I175" s="210">
        <f t="shared" si="5"/>
        <v>0.2595172698111757</v>
      </c>
      <c r="J175" s="57">
        <f t="shared" si="5"/>
        <v>0.25226507994480857</v>
      </c>
    </row>
    <row r="176" spans="2:10" ht="12.75">
      <c r="B176" s="13" t="s">
        <v>44</v>
      </c>
      <c r="C176" s="121" t="s">
        <v>21</v>
      </c>
      <c r="D176" s="121"/>
      <c r="E176" s="57">
        <v>88.69889953352508</v>
      </c>
      <c r="F176" s="57">
        <f t="shared" si="5"/>
        <v>86.76758654507645</v>
      </c>
      <c r="G176" s="57">
        <f t="shared" si="5"/>
        <v>82.90496056817919</v>
      </c>
      <c r="H176" s="57">
        <f t="shared" si="5"/>
        <v>79.04233459128193</v>
      </c>
      <c r="I176" s="210">
        <f t="shared" si="5"/>
        <v>75.17970861438467</v>
      </c>
      <c r="J176" s="57">
        <f t="shared" si="5"/>
        <v>71.3170826374874</v>
      </c>
    </row>
    <row r="177" spans="2:10" ht="12.75">
      <c r="B177" s="13" t="s">
        <v>22</v>
      </c>
      <c r="C177" s="121" t="s">
        <v>21</v>
      </c>
      <c r="D177" s="121"/>
      <c r="E177" s="57">
        <v>0</v>
      </c>
      <c r="F177" s="57">
        <f t="shared" si="5"/>
        <v>0</v>
      </c>
      <c r="G177" s="57">
        <f t="shared" si="5"/>
        <v>0</v>
      </c>
      <c r="H177" s="57">
        <f t="shared" si="5"/>
        <v>0</v>
      </c>
      <c r="I177" s="210">
        <f t="shared" si="5"/>
        <v>0</v>
      </c>
      <c r="J177" s="57">
        <f t="shared" si="5"/>
        <v>0</v>
      </c>
    </row>
    <row r="178" spans="2:10" ht="12.75">
      <c r="B178" s="13" t="s">
        <v>2</v>
      </c>
      <c r="C178" s="121" t="s">
        <v>21</v>
      </c>
      <c r="D178" s="121"/>
      <c r="E178" s="57">
        <v>-0.40629245032032135</v>
      </c>
      <c r="F178" s="57">
        <f t="shared" si="5"/>
        <v>4.847517405738861</v>
      </c>
      <c r="G178" s="57">
        <f t="shared" si="5"/>
        <v>3.6704153014233976</v>
      </c>
      <c r="H178" s="57">
        <f t="shared" si="5"/>
        <v>2.4933131971079336</v>
      </c>
      <c r="I178" s="210">
        <f t="shared" si="5"/>
        <v>1.3162110927924697</v>
      </c>
      <c r="J178" s="57">
        <f t="shared" si="5"/>
        <v>0.3638300203173689</v>
      </c>
    </row>
    <row r="179" spans="2:10" ht="12.75">
      <c r="B179" s="13" t="s">
        <v>31</v>
      </c>
      <c r="C179" s="121" t="s">
        <v>21</v>
      </c>
      <c r="D179" s="121"/>
      <c r="E179" s="57">
        <v>0</v>
      </c>
      <c r="F179" s="57">
        <f t="shared" si="5"/>
        <v>0</v>
      </c>
      <c r="G179" s="57">
        <f t="shared" si="5"/>
        <v>0</v>
      </c>
      <c r="H179" s="57">
        <f t="shared" si="5"/>
        <v>0</v>
      </c>
      <c r="I179" s="210">
        <f t="shared" si="5"/>
        <v>0</v>
      </c>
      <c r="J179" s="57">
        <f t="shared" si="5"/>
        <v>0</v>
      </c>
    </row>
    <row r="180" spans="2:10" ht="12.75">
      <c r="B180" s="13" t="s">
        <v>3</v>
      </c>
      <c r="C180" s="121" t="s">
        <v>21</v>
      </c>
      <c r="D180" s="121"/>
      <c r="E180" s="57">
        <v>0</v>
      </c>
      <c r="F180" s="57">
        <f t="shared" si="5"/>
        <v>0</v>
      </c>
      <c r="G180" s="57">
        <f t="shared" si="5"/>
        <v>0</v>
      </c>
      <c r="H180" s="57">
        <f t="shared" si="5"/>
        <v>0</v>
      </c>
      <c r="I180" s="210">
        <f t="shared" si="5"/>
        <v>0</v>
      </c>
      <c r="J180" s="57">
        <f t="shared" si="5"/>
        <v>0</v>
      </c>
    </row>
    <row r="181" spans="2:10" ht="12.75">
      <c r="B181" s="37"/>
      <c r="C181" s="121"/>
      <c r="D181" s="121"/>
      <c r="E181" s="53"/>
      <c r="F181" s="53"/>
      <c r="G181" s="53"/>
      <c r="H181" s="53"/>
      <c r="I181" s="220"/>
      <c r="J181" s="53"/>
    </row>
    <row r="182" spans="2:10" ht="12.75">
      <c r="B182" s="93"/>
      <c r="C182" s="121" t="s">
        <v>21</v>
      </c>
      <c r="D182" s="121"/>
      <c r="E182" s="57">
        <f aca="true" t="shared" si="6" ref="E182:J182">SUM(E169:E181)</f>
        <v>159.91668089893733</v>
      </c>
      <c r="F182" s="57">
        <f t="shared" si="6"/>
        <v>163.6878073064634</v>
      </c>
      <c r="G182" s="57">
        <f t="shared" si="6"/>
        <v>157.50362307756794</v>
      </c>
      <c r="H182" s="57">
        <f t="shared" si="6"/>
        <v>151.31943884867246</v>
      </c>
      <c r="I182" s="210">
        <f t="shared" si="6"/>
        <v>145.13525461977696</v>
      </c>
      <c r="J182" s="57">
        <f t="shared" si="6"/>
        <v>139.17579142272186</v>
      </c>
    </row>
    <row r="183" spans="2:10" ht="12.75">
      <c r="B183" s="93"/>
      <c r="C183" s="121"/>
      <c r="D183" s="121"/>
      <c r="E183" s="57"/>
      <c r="F183" s="57"/>
      <c r="G183" s="57"/>
      <c r="H183" s="57"/>
      <c r="I183" s="210"/>
      <c r="J183" s="57"/>
    </row>
    <row r="184" spans="2:11" ht="12.75">
      <c r="B184" s="45" t="s">
        <v>68</v>
      </c>
      <c r="C184" s="121"/>
      <c r="D184" s="121"/>
      <c r="E184"/>
      <c r="F184"/>
      <c r="G184"/>
      <c r="H184"/>
      <c r="I184" s="225"/>
      <c r="J184" s="168"/>
      <c r="K184"/>
    </row>
    <row r="185" spans="2:11" ht="12.75">
      <c r="B185" s="102"/>
      <c r="C185" s="121"/>
      <c r="D185" s="121"/>
      <c r="E185"/>
      <c r="F185"/>
      <c r="G185"/>
      <c r="H185"/>
      <c r="I185" s="225"/>
      <c r="J185" s="168"/>
      <c r="K185"/>
    </row>
    <row r="186" spans="2:11" ht="12.75">
      <c r="B186" s="13" t="s">
        <v>19</v>
      </c>
      <c r="C186" s="121" t="s">
        <v>21</v>
      </c>
      <c r="D186" s="121"/>
      <c r="E186" s="92">
        <v>0.0021924902332974274</v>
      </c>
      <c r="F186" s="92">
        <v>0.004384980466594855</v>
      </c>
      <c r="G186" s="92">
        <v>0.004384980466594855</v>
      </c>
      <c r="H186" s="92">
        <v>0.004384980466594855</v>
      </c>
      <c r="I186" s="219">
        <v>0.004384980466594855</v>
      </c>
      <c r="J186" s="168"/>
      <c r="K186"/>
    </row>
    <row r="187" spans="2:11" ht="12.75">
      <c r="B187" s="13" t="s">
        <v>20</v>
      </c>
      <c r="C187" s="121" t="s">
        <v>21</v>
      </c>
      <c r="D187" s="121"/>
      <c r="E187" s="92">
        <v>-0.4387009416025181</v>
      </c>
      <c r="F187" s="92">
        <v>0</v>
      </c>
      <c r="G187" s="92">
        <v>0</v>
      </c>
      <c r="H187" s="92">
        <v>0</v>
      </c>
      <c r="I187" s="219">
        <v>0</v>
      </c>
      <c r="J187" s="168"/>
      <c r="K187"/>
    </row>
    <row r="188" spans="2:11" ht="12.75">
      <c r="B188" s="13" t="s">
        <v>43</v>
      </c>
      <c r="C188" s="121" t="s">
        <v>21</v>
      </c>
      <c r="D188" s="121"/>
      <c r="E188" s="92">
        <v>0.07151945101972787</v>
      </c>
      <c r="F188" s="92">
        <v>0.1430389020394557</v>
      </c>
      <c r="G188" s="92">
        <v>0.14303890203945574</v>
      </c>
      <c r="H188" s="92">
        <v>0.14303890203945574</v>
      </c>
      <c r="I188" s="219">
        <v>0.1430389020394557</v>
      </c>
      <c r="J188" s="168"/>
      <c r="K188"/>
    </row>
    <row r="189" spans="2:11" ht="12.75">
      <c r="B189" s="13" t="s">
        <v>29</v>
      </c>
      <c r="C189" s="121" t="s">
        <v>21</v>
      </c>
      <c r="D189" s="121"/>
      <c r="E189" s="92">
        <v>0</v>
      </c>
      <c r="F189" s="92">
        <v>0</v>
      </c>
      <c r="G189" s="92">
        <v>0</v>
      </c>
      <c r="H189" s="92">
        <v>0</v>
      </c>
      <c r="I189" s="219">
        <v>0</v>
      </c>
      <c r="J189" s="168"/>
      <c r="K189"/>
    </row>
    <row r="190" spans="2:11" ht="12.75">
      <c r="B190" s="13" t="s">
        <v>1</v>
      </c>
      <c r="C190" s="121" t="s">
        <v>21</v>
      </c>
      <c r="D190" s="121"/>
      <c r="E190" s="92">
        <v>0.0014803929453895447</v>
      </c>
      <c r="F190" s="92">
        <v>0.0029607858907790894</v>
      </c>
      <c r="G190" s="92">
        <v>0.00296078589077909</v>
      </c>
      <c r="H190" s="92">
        <v>0.0029607858907790894</v>
      </c>
      <c r="I190" s="219">
        <v>0.00296078589077909</v>
      </c>
      <c r="J190" s="168"/>
      <c r="K190"/>
    </row>
    <row r="191" spans="2:11" ht="12.75">
      <c r="B191" s="13" t="s">
        <v>10</v>
      </c>
      <c r="C191" s="121" t="s">
        <v>21</v>
      </c>
      <c r="D191" s="121"/>
      <c r="E191" s="92">
        <v>-0.0009010335120525025</v>
      </c>
      <c r="F191" s="92">
        <v>0</v>
      </c>
      <c r="G191" s="92">
        <v>0</v>
      </c>
      <c r="H191" s="92">
        <v>0</v>
      </c>
      <c r="I191" s="219">
        <v>0</v>
      </c>
      <c r="J191" s="168"/>
      <c r="K191"/>
    </row>
    <row r="192" spans="2:11" ht="12.75">
      <c r="B192" s="13" t="s">
        <v>8</v>
      </c>
      <c r="C192" s="121" t="s">
        <v>21</v>
      </c>
      <c r="D192" s="121"/>
      <c r="E192" s="92">
        <v>-0.0015246653550989836</v>
      </c>
      <c r="F192" s="92">
        <v>0</v>
      </c>
      <c r="G192" s="92">
        <v>0</v>
      </c>
      <c r="H192" s="92">
        <v>0</v>
      </c>
      <c r="I192" s="219">
        <v>0</v>
      </c>
      <c r="J192" s="168"/>
      <c r="K192"/>
    </row>
    <row r="193" spans="2:11" ht="12.75">
      <c r="B193" s="13" t="s">
        <v>44</v>
      </c>
      <c r="C193" s="121" t="s">
        <v>21</v>
      </c>
      <c r="D193" s="121"/>
      <c r="E193" s="92">
        <v>0.36582683395457766</v>
      </c>
      <c r="F193" s="92">
        <v>0.7316536679091553</v>
      </c>
      <c r="G193" s="92">
        <v>0.7316536679091553</v>
      </c>
      <c r="H193" s="92">
        <v>0.7316536679091553</v>
      </c>
      <c r="I193" s="219">
        <v>0.7316536679091553</v>
      </c>
      <c r="J193" s="168"/>
      <c r="K193"/>
    </row>
    <row r="194" spans="2:11" ht="12.75">
      <c r="B194" s="13" t="s">
        <v>22</v>
      </c>
      <c r="C194" s="121" t="s">
        <v>21</v>
      </c>
      <c r="D194" s="121"/>
      <c r="E194" s="92">
        <v>0</v>
      </c>
      <c r="F194" s="92">
        <v>0</v>
      </c>
      <c r="G194" s="92">
        <v>0</v>
      </c>
      <c r="H194" s="92">
        <v>0</v>
      </c>
      <c r="I194" s="219">
        <v>0</v>
      </c>
      <c r="J194" s="168"/>
      <c r="K194"/>
    </row>
    <row r="195" spans="2:11" ht="12.75">
      <c r="B195" s="13" t="s">
        <v>2</v>
      </c>
      <c r="C195" s="121" t="s">
        <v>21</v>
      </c>
      <c r="D195" s="121"/>
      <c r="E195" s="92">
        <v>-2.688386475991651</v>
      </c>
      <c r="F195" s="92">
        <v>0</v>
      </c>
      <c r="G195" s="92">
        <v>0</v>
      </c>
      <c r="H195" s="92">
        <v>0</v>
      </c>
      <c r="I195" s="219">
        <v>0</v>
      </c>
      <c r="J195" s="168"/>
      <c r="K195"/>
    </row>
    <row r="196" spans="2:11" ht="12.75">
      <c r="B196" s="13" t="s">
        <v>31</v>
      </c>
      <c r="C196" s="121" t="s">
        <v>21</v>
      </c>
      <c r="D196" s="121"/>
      <c r="E196" s="92">
        <v>0</v>
      </c>
      <c r="F196" s="92">
        <v>0</v>
      </c>
      <c r="G196" s="92">
        <v>0</v>
      </c>
      <c r="H196" s="92">
        <v>0</v>
      </c>
      <c r="I196" s="219">
        <v>0</v>
      </c>
      <c r="J196" s="168"/>
      <c r="K196"/>
    </row>
    <row r="197" spans="2:11" ht="12.75">
      <c r="B197" s="13" t="s">
        <v>3</v>
      </c>
      <c r="C197" s="121" t="s">
        <v>21</v>
      </c>
      <c r="D197" s="121"/>
      <c r="E197" s="92"/>
      <c r="F197" s="92"/>
      <c r="G197" s="92"/>
      <c r="H197" s="57"/>
      <c r="I197" s="210"/>
      <c r="J197" s="168"/>
      <c r="K197"/>
    </row>
    <row r="198" spans="2:11" ht="12.75">
      <c r="B198" s="93"/>
      <c r="C198" s="121"/>
      <c r="D198" s="121"/>
      <c r="E198" s="56"/>
      <c r="F198" s="56"/>
      <c r="G198" s="56"/>
      <c r="H198" s="53"/>
      <c r="I198" s="220"/>
      <c r="J198" s="168"/>
      <c r="K198"/>
    </row>
    <row r="199" spans="2:11" ht="12.75">
      <c r="B199" s="93"/>
      <c r="C199" s="121" t="s">
        <v>21</v>
      </c>
      <c r="D199" s="121"/>
      <c r="E199" s="92">
        <f>SUM(E186:E198)</f>
        <v>-2.688493948308328</v>
      </c>
      <c r="F199" s="92">
        <f>SUM(F186:F198)</f>
        <v>0.8820383363059849</v>
      </c>
      <c r="G199" s="92">
        <f>SUM(G186:G198)</f>
        <v>0.8820383363059849</v>
      </c>
      <c r="H199" s="57">
        <f>SUM(H186:H198)</f>
        <v>0.8820383363059849</v>
      </c>
      <c r="I199" s="210">
        <f>SUM(I186:I198)</f>
        <v>0.8820383363059849</v>
      </c>
      <c r="J199" s="168"/>
      <c r="K199"/>
    </row>
    <row r="200" spans="2:11" ht="12.75">
      <c r="B200" s="93"/>
      <c r="C200" s="121"/>
      <c r="D200" s="121"/>
      <c r="E200" s="1"/>
      <c r="F200" s="1"/>
      <c r="G200" s="1"/>
      <c r="H200"/>
      <c r="I200" s="225"/>
      <c r="J200" s="168"/>
      <c r="K200"/>
    </row>
    <row r="201" spans="2:11" ht="12.75">
      <c r="B201" s="11" t="s">
        <v>69</v>
      </c>
      <c r="C201" s="121"/>
      <c r="D201" s="121"/>
      <c r="E201" s="1"/>
      <c r="F201" s="1"/>
      <c r="G201" s="1"/>
      <c r="H201"/>
      <c r="I201" s="225"/>
      <c r="J201" s="168"/>
      <c r="K201"/>
    </row>
    <row r="202" spans="2:11" ht="12.75">
      <c r="B202" s="93"/>
      <c r="C202" s="121"/>
      <c r="D202" s="121"/>
      <c r="E202" s="1"/>
      <c r="F202" s="1"/>
      <c r="G202" s="1"/>
      <c r="H202"/>
      <c r="I202" s="225"/>
      <c r="J202" s="168"/>
      <c r="K202"/>
    </row>
    <row r="203" spans="2:11" ht="12.75">
      <c r="B203" s="13" t="s">
        <v>19</v>
      </c>
      <c r="C203" s="121" t="s">
        <v>21</v>
      </c>
      <c r="D203" s="121"/>
      <c r="E203" s="92">
        <v>0.006844673402648227</v>
      </c>
      <c r="F203" s="92">
        <v>0.013689346805296453</v>
      </c>
      <c r="G203" s="92">
        <v>0.013689346805296453</v>
      </c>
      <c r="H203" s="92">
        <v>0.013689346805296453</v>
      </c>
      <c r="I203" s="219">
        <v>0.013689346805296454</v>
      </c>
      <c r="J203" s="168"/>
      <c r="K203"/>
    </row>
    <row r="204" spans="2:11" ht="12.75">
      <c r="B204" s="13" t="s">
        <v>20</v>
      </c>
      <c r="C204" s="121" t="s">
        <v>21</v>
      </c>
      <c r="D204" s="121"/>
      <c r="E204" s="92">
        <v>-0.3071806432784624</v>
      </c>
      <c r="F204" s="92">
        <v>0</v>
      </c>
      <c r="G204" s="92">
        <v>0</v>
      </c>
      <c r="H204" s="92">
        <v>0</v>
      </c>
      <c r="I204" s="219">
        <v>0</v>
      </c>
      <c r="J204" s="168"/>
      <c r="K204"/>
    </row>
    <row r="205" spans="2:11" ht="12.75">
      <c r="B205" s="13" t="s">
        <v>43</v>
      </c>
      <c r="C205" s="121" t="s">
        <v>21</v>
      </c>
      <c r="D205" s="121"/>
      <c r="E205" s="92">
        <v>0.07816639018027194</v>
      </c>
      <c r="F205" s="92">
        <v>0.15633278036054388</v>
      </c>
      <c r="G205" s="92">
        <v>0.15633278036054385</v>
      </c>
      <c r="H205" s="92">
        <v>0.15633278036054385</v>
      </c>
      <c r="I205" s="219">
        <v>0.15633278036054388</v>
      </c>
      <c r="J205" s="168"/>
      <c r="K205"/>
    </row>
    <row r="206" spans="2:11" ht="12.75">
      <c r="B206" s="13" t="s">
        <v>29</v>
      </c>
      <c r="C206" s="121" t="s">
        <v>21</v>
      </c>
      <c r="D206" s="121"/>
      <c r="E206" s="92">
        <v>0</v>
      </c>
      <c r="F206" s="92">
        <v>0</v>
      </c>
      <c r="G206" s="92">
        <v>0</v>
      </c>
      <c r="H206" s="92">
        <v>0</v>
      </c>
      <c r="I206" s="219">
        <v>0</v>
      </c>
      <c r="J206" s="168"/>
      <c r="K206"/>
    </row>
    <row r="207" spans="2:11" ht="12.75">
      <c r="B207" s="13" t="s">
        <v>1</v>
      </c>
      <c r="C207" s="121" t="s">
        <v>21</v>
      </c>
      <c r="D207" s="121"/>
      <c r="E207" s="92">
        <v>0.010843869116424697</v>
      </c>
      <c r="F207" s="92">
        <v>0.021687738232849394</v>
      </c>
      <c r="G207" s="92">
        <v>0.02168773823284939</v>
      </c>
      <c r="H207" s="92">
        <v>0.021687738232849394</v>
      </c>
      <c r="I207" s="219">
        <v>0.021687738232849394</v>
      </c>
      <c r="J207" s="168"/>
      <c r="K207"/>
    </row>
    <row r="208" spans="2:11" ht="12.75">
      <c r="B208" s="13" t="s">
        <v>10</v>
      </c>
      <c r="C208" s="121" t="s">
        <v>21</v>
      </c>
      <c r="D208" s="121"/>
      <c r="E208" s="92">
        <v>-0.0006633299411923198</v>
      </c>
      <c r="F208" s="92">
        <v>0</v>
      </c>
      <c r="G208" s="92">
        <v>0</v>
      </c>
      <c r="H208" s="92">
        <v>0</v>
      </c>
      <c r="I208" s="219">
        <v>0</v>
      </c>
      <c r="J208" s="168"/>
      <c r="K208"/>
    </row>
    <row r="209" spans="2:11" ht="12.75">
      <c r="B209" s="13" t="s">
        <v>8</v>
      </c>
      <c r="C209" s="121" t="s">
        <v>21</v>
      </c>
      <c r="D209" s="121"/>
      <c r="E209" s="92">
        <v>-0.0011224401388045659</v>
      </c>
      <c r="F209" s="92">
        <v>0</v>
      </c>
      <c r="G209" s="92">
        <v>0</v>
      </c>
      <c r="H209" s="92">
        <v>0</v>
      </c>
      <c r="I209" s="219">
        <v>0</v>
      </c>
      <c r="J209" s="168"/>
      <c r="K209"/>
    </row>
    <row r="210" spans="2:11" ht="12.75">
      <c r="B210" s="13" t="s">
        <v>44</v>
      </c>
      <c r="C210" s="121" t="s">
        <v>21</v>
      </c>
      <c r="D210" s="121"/>
      <c r="E210" s="92">
        <v>0.4431173072350432</v>
      </c>
      <c r="F210" s="92">
        <v>0.8862346144700864</v>
      </c>
      <c r="G210" s="92">
        <v>0.8862346144700864</v>
      </c>
      <c r="H210" s="92">
        <v>0.8862346144700864</v>
      </c>
      <c r="I210" s="219">
        <v>0.8862346144700863</v>
      </c>
      <c r="J210" s="168"/>
      <c r="K210"/>
    </row>
    <row r="211" spans="2:11" ht="12.75">
      <c r="B211" s="13" t="s">
        <v>22</v>
      </c>
      <c r="C211" s="121" t="s">
        <v>21</v>
      </c>
      <c r="D211" s="121"/>
      <c r="E211" s="92">
        <v>0</v>
      </c>
      <c r="F211" s="92">
        <v>0</v>
      </c>
      <c r="G211" s="92">
        <v>0</v>
      </c>
      <c r="H211" s="92">
        <v>0</v>
      </c>
      <c r="I211" s="219">
        <v>0</v>
      </c>
      <c r="J211" s="168"/>
      <c r="K211"/>
    </row>
    <row r="212" spans="2:11" ht="12.75">
      <c r="B212" s="13" t="s">
        <v>2</v>
      </c>
      <c r="C212" s="121" t="s">
        <v>21</v>
      </c>
      <c r="D212" s="121"/>
      <c r="E212" s="92">
        <v>-2.02194148656303</v>
      </c>
      <c r="F212" s="92">
        <v>1.2721305490496585E-17</v>
      </c>
      <c r="G212" s="92">
        <v>6.288372600415926E-18</v>
      </c>
      <c r="H212" s="92">
        <v>0</v>
      </c>
      <c r="I212" s="219">
        <v>0</v>
      </c>
      <c r="J212" s="168"/>
      <c r="K212"/>
    </row>
    <row r="213" spans="2:11" ht="12.75">
      <c r="B213" s="13" t="s">
        <v>31</v>
      </c>
      <c r="C213" s="121" t="s">
        <v>21</v>
      </c>
      <c r="D213" s="121"/>
      <c r="E213" s="92">
        <v>0</v>
      </c>
      <c r="F213" s="92">
        <v>0</v>
      </c>
      <c r="G213" s="92">
        <v>0</v>
      </c>
      <c r="H213" s="92">
        <v>0</v>
      </c>
      <c r="I213" s="219">
        <v>0</v>
      </c>
      <c r="J213" s="168"/>
      <c r="K213"/>
    </row>
    <row r="214" spans="2:11" ht="12.75">
      <c r="B214" s="13" t="s">
        <v>3</v>
      </c>
      <c r="C214" s="121" t="s">
        <v>21</v>
      </c>
      <c r="D214" s="121"/>
      <c r="E214" s="92"/>
      <c r="F214" s="92"/>
      <c r="G214" s="92"/>
      <c r="H214" s="57"/>
      <c r="I214" s="210"/>
      <c r="J214" s="168"/>
      <c r="K214"/>
    </row>
    <row r="215" spans="2:11" ht="12.75">
      <c r="B215" s="93"/>
      <c r="C215" s="121"/>
      <c r="D215" s="121"/>
      <c r="E215" s="56"/>
      <c r="F215" s="56"/>
      <c r="G215" s="56"/>
      <c r="H215" s="53"/>
      <c r="I215" s="220"/>
      <c r="J215" s="168"/>
      <c r="K215"/>
    </row>
    <row r="216" spans="2:11" ht="12.75">
      <c r="B216" s="93"/>
      <c r="C216" s="121" t="s">
        <v>21</v>
      </c>
      <c r="D216" s="121"/>
      <c r="E216" s="92">
        <f>SUM(E203:E215)</f>
        <v>-1.791935659987101</v>
      </c>
      <c r="F216" s="92">
        <f>SUM(F203:F215)</f>
        <v>1.0779444798687763</v>
      </c>
      <c r="G216" s="92">
        <f>SUM(G203:G215)</f>
        <v>1.077944479868776</v>
      </c>
      <c r="H216" s="57">
        <f>SUM(H203:H215)</f>
        <v>1.077944479868776</v>
      </c>
      <c r="I216" s="210">
        <f>SUM(I203:I215)</f>
        <v>1.077944479868776</v>
      </c>
      <c r="J216" s="168"/>
      <c r="K216"/>
    </row>
    <row r="217" spans="2:11" ht="12.75">
      <c r="B217" s="93"/>
      <c r="C217" s="121"/>
      <c r="D217" s="121"/>
      <c r="E217" s="1"/>
      <c r="F217" s="1"/>
      <c r="G217" s="1"/>
      <c r="H217"/>
      <c r="I217" s="225"/>
      <c r="J217" s="168"/>
      <c r="K217"/>
    </row>
    <row r="218" spans="2:11" ht="12.75">
      <c r="B218" s="11" t="s">
        <v>70</v>
      </c>
      <c r="C218" s="121"/>
      <c r="D218" s="121"/>
      <c r="E218" s="1"/>
      <c r="F218" s="1"/>
      <c r="G218" s="1"/>
      <c r="H218"/>
      <c r="I218" s="225"/>
      <c r="J218" s="168"/>
      <c r="K218"/>
    </row>
    <row r="219" spans="2:11" ht="12.75">
      <c r="B219" s="93"/>
      <c r="C219" s="121"/>
      <c r="D219" s="121"/>
      <c r="E219" s="1"/>
      <c r="F219" s="1"/>
      <c r="G219" s="1"/>
      <c r="H219"/>
      <c r="I219" s="225"/>
      <c r="J219" s="168"/>
      <c r="K219"/>
    </row>
    <row r="220" spans="2:11" ht="12.75">
      <c r="B220" s="13" t="s">
        <v>19</v>
      </c>
      <c r="C220" s="121" t="s">
        <v>21</v>
      </c>
      <c r="D220" s="121"/>
      <c r="E220" s="92">
        <v>0.006312149219327657</v>
      </c>
      <c r="F220" s="92">
        <v>0.012624298438655314</v>
      </c>
      <c r="G220" s="92">
        <v>0.012624298438655314</v>
      </c>
      <c r="H220" s="92">
        <v>0.012624298438655314</v>
      </c>
      <c r="I220" s="219">
        <v>0.012624298438655314</v>
      </c>
      <c r="J220" s="168"/>
      <c r="K220"/>
    </row>
    <row r="221" spans="2:11" ht="12.75">
      <c r="B221" s="13" t="s">
        <v>20</v>
      </c>
      <c r="C221" s="121" t="s">
        <v>21</v>
      </c>
      <c r="D221" s="121"/>
      <c r="E221" s="92">
        <v>-0.17265199951099655</v>
      </c>
      <c r="F221" s="92">
        <v>0</v>
      </c>
      <c r="G221" s="92">
        <v>0</v>
      </c>
      <c r="H221" s="92">
        <v>0</v>
      </c>
      <c r="I221" s="219">
        <v>0</v>
      </c>
      <c r="J221" s="168"/>
      <c r="K221"/>
    </row>
    <row r="222" spans="2:11" ht="12.75">
      <c r="B222" s="13" t="s">
        <v>43</v>
      </c>
      <c r="C222" s="121" t="s">
        <v>21</v>
      </c>
      <c r="D222" s="121"/>
      <c r="E222" s="92">
        <v>0.11538156656947834</v>
      </c>
      <c r="F222" s="92">
        <v>0.2307631331389567</v>
      </c>
      <c r="G222" s="92">
        <v>0.23076313313895672</v>
      </c>
      <c r="H222" s="92">
        <v>0.2307631331389567</v>
      </c>
      <c r="I222" s="219">
        <v>0.2307631331389567</v>
      </c>
      <c r="J222" s="168"/>
      <c r="K222"/>
    </row>
    <row r="223" spans="2:11" ht="12.75">
      <c r="B223" s="13" t="s">
        <v>29</v>
      </c>
      <c r="C223" s="121" t="s">
        <v>21</v>
      </c>
      <c r="D223" s="121"/>
      <c r="E223" s="92">
        <v>0</v>
      </c>
      <c r="F223" s="92">
        <v>0</v>
      </c>
      <c r="G223" s="92">
        <v>0</v>
      </c>
      <c r="H223" s="92">
        <v>0</v>
      </c>
      <c r="I223" s="219">
        <v>0</v>
      </c>
      <c r="J223" s="168"/>
      <c r="K223"/>
    </row>
    <row r="224" spans="2:11" ht="12.75">
      <c r="B224" s="13" t="s">
        <v>1</v>
      </c>
      <c r="C224" s="121" t="s">
        <v>21</v>
      </c>
      <c r="D224" s="121"/>
      <c r="E224" s="92">
        <v>0.008651021137531413</v>
      </c>
      <c r="F224" s="92">
        <v>0.017302042275062827</v>
      </c>
      <c r="G224" s="92">
        <v>0.017302042275062827</v>
      </c>
      <c r="H224" s="92">
        <v>0.017302042275062827</v>
      </c>
      <c r="I224" s="219">
        <v>0.017302042275062827</v>
      </c>
      <c r="J224" s="168"/>
      <c r="K224"/>
    </row>
    <row r="225" spans="2:11" ht="12.75">
      <c r="B225" s="13" t="s">
        <v>10</v>
      </c>
      <c r="C225" s="121" t="s">
        <v>21</v>
      </c>
      <c r="D225" s="121"/>
      <c r="E225" s="92">
        <v>-0.00041458105271792846</v>
      </c>
      <c r="F225" s="92">
        <v>0</v>
      </c>
      <c r="G225" s="92">
        <v>0</v>
      </c>
      <c r="H225" s="92">
        <v>0</v>
      </c>
      <c r="I225" s="219">
        <v>0</v>
      </c>
      <c r="J225" s="168"/>
      <c r="K225"/>
    </row>
    <row r="226" spans="2:11" ht="12.75">
      <c r="B226" s="13" t="s">
        <v>8</v>
      </c>
      <c r="C226" s="121" t="s">
        <v>21</v>
      </c>
      <c r="D226" s="121"/>
      <c r="E226" s="92">
        <v>0.0005473397761080491</v>
      </c>
      <c r="F226" s="92">
        <v>0.001094679552216098</v>
      </c>
      <c r="G226" s="92">
        <v>0.0010946795522160982</v>
      </c>
      <c r="H226" s="92">
        <v>0.0010946795522160982</v>
      </c>
      <c r="I226" s="219">
        <v>0.001094679552216098</v>
      </c>
      <c r="J226" s="168"/>
      <c r="K226"/>
    </row>
    <row r="227" spans="2:11" ht="12.75">
      <c r="B227" s="13" t="s">
        <v>44</v>
      </c>
      <c r="C227" s="121" t="s">
        <v>21</v>
      </c>
      <c r="D227" s="121"/>
      <c r="E227" s="92">
        <v>0.3964425017659921</v>
      </c>
      <c r="F227" s="92">
        <v>0.7928850035319842</v>
      </c>
      <c r="G227" s="92">
        <v>0.7928850035319843</v>
      </c>
      <c r="H227" s="92">
        <v>0.7928850035319842</v>
      </c>
      <c r="I227" s="219">
        <v>0.7928850035319842</v>
      </c>
      <c r="J227" s="168"/>
      <c r="K227"/>
    </row>
    <row r="228" spans="2:11" ht="12.75">
      <c r="B228" s="13" t="s">
        <v>22</v>
      </c>
      <c r="C228" s="121" t="s">
        <v>21</v>
      </c>
      <c r="D228" s="121"/>
      <c r="E228" s="92">
        <v>0</v>
      </c>
      <c r="F228" s="92">
        <v>0</v>
      </c>
      <c r="G228" s="92">
        <v>0</v>
      </c>
      <c r="H228" s="92">
        <v>0</v>
      </c>
      <c r="I228" s="219">
        <v>0</v>
      </c>
      <c r="J228" s="168"/>
      <c r="K228"/>
    </row>
    <row r="229" spans="2:11" ht="12.75">
      <c r="B229" s="13" t="s">
        <v>2</v>
      </c>
      <c r="C229" s="121" t="s">
        <v>21</v>
      </c>
      <c r="D229" s="121"/>
      <c r="E229" s="92">
        <v>-1.1320329456622338</v>
      </c>
      <c r="F229" s="92">
        <v>0</v>
      </c>
      <c r="G229" s="92">
        <v>0</v>
      </c>
      <c r="H229" s="92">
        <v>0</v>
      </c>
      <c r="I229" s="219">
        <v>0</v>
      </c>
      <c r="J229" s="168"/>
      <c r="K229"/>
    </row>
    <row r="230" spans="2:11" ht="12.75">
      <c r="B230" s="13" t="s">
        <v>31</v>
      </c>
      <c r="C230" s="121" t="s">
        <v>21</v>
      </c>
      <c r="D230" s="121"/>
      <c r="E230" s="92">
        <v>0</v>
      </c>
      <c r="F230" s="92">
        <v>0</v>
      </c>
      <c r="G230" s="92">
        <v>0</v>
      </c>
      <c r="H230" s="92">
        <v>0</v>
      </c>
      <c r="I230" s="219">
        <v>0</v>
      </c>
      <c r="J230" s="168"/>
      <c r="K230"/>
    </row>
    <row r="231" spans="2:11" ht="12.75">
      <c r="B231" s="13" t="s">
        <v>3</v>
      </c>
      <c r="C231" s="121" t="s">
        <v>21</v>
      </c>
      <c r="D231" s="121"/>
      <c r="E231" s="92"/>
      <c r="F231" s="92"/>
      <c r="G231" s="92"/>
      <c r="H231" s="57"/>
      <c r="I231" s="210"/>
      <c r="J231" s="168"/>
      <c r="K231"/>
    </row>
    <row r="232" spans="2:11" ht="12.75">
      <c r="B232" s="93"/>
      <c r="C232" s="121"/>
      <c r="D232" s="121"/>
      <c r="E232" s="56"/>
      <c r="F232" s="56"/>
      <c r="G232" s="56"/>
      <c r="H232" s="53"/>
      <c r="I232" s="220"/>
      <c r="J232" s="168"/>
      <c r="K232"/>
    </row>
    <row r="233" spans="2:11" ht="12.75">
      <c r="B233" s="93"/>
      <c r="C233" s="121" t="s">
        <v>21</v>
      </c>
      <c r="D233" s="121"/>
      <c r="E233" s="92">
        <f>SUM(E220:E232)</f>
        <v>-0.7777649477575107</v>
      </c>
      <c r="F233" s="92">
        <f>SUM(F220:F232)</f>
        <v>1.0546691569368751</v>
      </c>
      <c r="G233" s="92">
        <f>SUM(G220:G232)</f>
        <v>1.0546691569368754</v>
      </c>
      <c r="H233" s="57">
        <f>SUM(H220:H232)</f>
        <v>1.0546691569368751</v>
      </c>
      <c r="I233" s="210">
        <f>SUM(I220:I232)</f>
        <v>1.0546691569368751</v>
      </c>
      <c r="J233" s="168"/>
      <c r="K233"/>
    </row>
    <row r="234" spans="2:11" ht="12.75">
      <c r="B234" s="93"/>
      <c r="C234" s="121"/>
      <c r="D234" s="121"/>
      <c r="E234" s="1"/>
      <c r="F234" s="1"/>
      <c r="G234" s="1"/>
      <c r="H234"/>
      <c r="I234" s="225"/>
      <c r="J234" s="168"/>
      <c r="K234"/>
    </row>
    <row r="235" spans="2:11" ht="12.75">
      <c r="B235" s="11" t="s">
        <v>71</v>
      </c>
      <c r="C235" s="121"/>
      <c r="D235" s="121"/>
      <c r="E235" s="1"/>
      <c r="F235" s="1"/>
      <c r="G235" s="1"/>
      <c r="H235"/>
      <c r="I235" s="225"/>
      <c r="J235" s="168"/>
      <c r="K235"/>
    </row>
    <row r="236" spans="2:11" ht="12.75">
      <c r="B236" s="93"/>
      <c r="C236" s="121"/>
      <c r="D236" s="121"/>
      <c r="E236" s="1"/>
      <c r="F236" s="1"/>
      <c r="G236" s="1"/>
      <c r="H236"/>
      <c r="I236" s="225"/>
      <c r="J236" s="168"/>
      <c r="K236"/>
    </row>
    <row r="237" spans="2:11" ht="12.75">
      <c r="B237" s="13" t="s">
        <v>19</v>
      </c>
      <c r="C237" s="121" t="s">
        <v>21</v>
      </c>
      <c r="D237" s="121"/>
      <c r="E237" s="92">
        <v>0.013839688249334306</v>
      </c>
      <c r="F237" s="92">
        <v>0.027679376498668612</v>
      </c>
      <c r="G237" s="92">
        <v>0.027679376498668612</v>
      </c>
      <c r="H237" s="92">
        <v>0.027679376498668612</v>
      </c>
      <c r="I237" s="219">
        <v>0.027679376498668615</v>
      </c>
      <c r="J237" s="168"/>
      <c r="K237"/>
    </row>
    <row r="238" spans="2:11" ht="12.75">
      <c r="B238" s="13" t="s">
        <v>20</v>
      </c>
      <c r="C238" s="121" t="s">
        <v>21</v>
      </c>
      <c r="D238" s="121"/>
      <c r="E238" s="92">
        <v>-0.09769797936503864</v>
      </c>
      <c r="F238" s="92">
        <v>0</v>
      </c>
      <c r="G238" s="92">
        <v>0</v>
      </c>
      <c r="H238" s="92">
        <v>0</v>
      </c>
      <c r="I238" s="219">
        <v>0</v>
      </c>
      <c r="J238" s="168"/>
      <c r="K238"/>
    </row>
    <row r="239" spans="2:11" ht="12.75">
      <c r="B239" s="13" t="s">
        <v>43</v>
      </c>
      <c r="C239" s="121" t="s">
        <v>21</v>
      </c>
      <c r="D239" s="121"/>
      <c r="E239" s="92">
        <v>0.1007780160909416</v>
      </c>
      <c r="F239" s="92">
        <v>0.2015560321818832</v>
      </c>
      <c r="G239" s="92">
        <v>0.20155603218188323</v>
      </c>
      <c r="H239" s="92">
        <v>0.2015560321818832</v>
      </c>
      <c r="I239" s="219">
        <v>0.2015560321818832</v>
      </c>
      <c r="J239" s="168"/>
      <c r="K239"/>
    </row>
    <row r="240" spans="2:11" ht="12.75">
      <c r="B240" s="13" t="s">
        <v>29</v>
      </c>
      <c r="C240" s="121" t="s">
        <v>21</v>
      </c>
      <c r="D240" s="121"/>
      <c r="E240" s="92">
        <v>0</v>
      </c>
      <c r="F240" s="92">
        <v>0</v>
      </c>
      <c r="G240" s="92">
        <v>0</v>
      </c>
      <c r="H240" s="92">
        <v>0</v>
      </c>
      <c r="I240" s="219">
        <v>0</v>
      </c>
      <c r="J240" s="168"/>
      <c r="K240"/>
    </row>
    <row r="241" spans="2:11" ht="12.75">
      <c r="B241" s="13" t="s">
        <v>1</v>
      </c>
      <c r="C241" s="121" t="s">
        <v>21</v>
      </c>
      <c r="D241" s="121"/>
      <c r="E241" s="92">
        <v>0.0023510635083322366</v>
      </c>
      <c r="F241" s="92">
        <v>0.004702127016664473</v>
      </c>
      <c r="G241" s="92">
        <v>0.004702127016664473</v>
      </c>
      <c r="H241" s="92">
        <v>0.004702127016664473</v>
      </c>
      <c r="I241" s="219">
        <v>0.004702127016664473</v>
      </c>
      <c r="J241" s="168"/>
      <c r="K241"/>
    </row>
    <row r="242" spans="2:11" ht="12.75">
      <c r="B242" s="13" t="s">
        <v>10</v>
      </c>
      <c r="C242" s="121" t="s">
        <v>21</v>
      </c>
      <c r="D242" s="121"/>
      <c r="E242" s="92">
        <v>0.000158565909623132</v>
      </c>
      <c r="F242" s="92">
        <v>0.00031713181924626405</v>
      </c>
      <c r="G242" s="92">
        <v>0.000317131819246264</v>
      </c>
      <c r="H242" s="92">
        <v>0.00031713181924626405</v>
      </c>
      <c r="I242" s="219">
        <v>0.00031713181924626405</v>
      </c>
      <c r="J242" s="168"/>
      <c r="K242"/>
    </row>
    <row r="243" spans="2:11" ht="12.75">
      <c r="B243" s="13" t="s">
        <v>8</v>
      </c>
      <c r="C243" s="121" t="s">
        <v>21</v>
      </c>
      <c r="D243" s="121"/>
      <c r="E243" s="92">
        <v>0.0014991506033963113</v>
      </c>
      <c r="F243" s="92">
        <v>0.0029983012067926226</v>
      </c>
      <c r="G243" s="92">
        <v>0.0029983012067926226</v>
      </c>
      <c r="H243" s="92">
        <v>0.0029983012067926226</v>
      </c>
      <c r="I243" s="219">
        <v>0.0029983012067926226</v>
      </c>
      <c r="J243" s="168"/>
      <c r="K243"/>
    </row>
    <row r="244" spans="2:11" ht="12.75">
      <c r="B244" s="13" t="s">
        <v>44</v>
      </c>
      <c r="C244" s="121" t="s">
        <v>21</v>
      </c>
      <c r="D244" s="121"/>
      <c r="E244" s="92">
        <v>0.34783068339786377</v>
      </c>
      <c r="F244" s="92">
        <v>0.6956613667957277</v>
      </c>
      <c r="G244" s="92">
        <v>0.6956613667957275</v>
      </c>
      <c r="H244" s="92">
        <v>0.6956613667957275</v>
      </c>
      <c r="I244" s="219">
        <v>0.6956613667957275</v>
      </c>
      <c r="J244" s="168"/>
      <c r="K244"/>
    </row>
    <row r="245" spans="2:11" ht="12.75">
      <c r="B245" s="13" t="s">
        <v>22</v>
      </c>
      <c r="C245" s="121" t="s">
        <v>21</v>
      </c>
      <c r="D245" s="121"/>
      <c r="E245" s="92">
        <v>0</v>
      </c>
      <c r="F245" s="92">
        <v>0</v>
      </c>
      <c r="G245" s="92">
        <v>0</v>
      </c>
      <c r="H245" s="92">
        <v>0</v>
      </c>
      <c r="I245" s="219">
        <v>0</v>
      </c>
      <c r="J245" s="168"/>
      <c r="K245"/>
    </row>
    <row r="246" spans="2:11" ht="12.75">
      <c r="B246" s="13" t="s">
        <v>2</v>
      </c>
      <c r="C246" s="121" t="s">
        <v>21</v>
      </c>
      <c r="D246" s="121"/>
      <c r="E246" s="92">
        <v>0.22472103184036274</v>
      </c>
      <c r="F246" s="92">
        <v>0.4494420636807254</v>
      </c>
      <c r="G246" s="92">
        <v>0.44944206368072537</v>
      </c>
      <c r="H246" s="92">
        <v>0.4494420636807253</v>
      </c>
      <c r="I246" s="219">
        <v>0.22472103184036252</v>
      </c>
      <c r="J246" s="168"/>
      <c r="K246"/>
    </row>
    <row r="247" spans="2:11" ht="12.75">
      <c r="B247" s="13" t="s">
        <v>31</v>
      </c>
      <c r="C247" s="121" t="s">
        <v>21</v>
      </c>
      <c r="D247" s="121"/>
      <c r="E247" s="92">
        <v>0</v>
      </c>
      <c r="F247" s="92">
        <v>0</v>
      </c>
      <c r="G247" s="92">
        <v>0</v>
      </c>
      <c r="H247" s="92">
        <v>0</v>
      </c>
      <c r="I247" s="219">
        <v>0</v>
      </c>
      <c r="J247" s="168"/>
      <c r="K247"/>
    </row>
    <row r="248" spans="2:11" ht="12.75">
      <c r="B248" s="13" t="s">
        <v>3</v>
      </c>
      <c r="C248" s="121" t="s">
        <v>21</v>
      </c>
      <c r="D248" s="121"/>
      <c r="E248" s="92"/>
      <c r="F248" s="92"/>
      <c r="G248" s="92"/>
      <c r="H248" s="92"/>
      <c r="I248" s="219"/>
      <c r="J248" s="168"/>
      <c r="K248"/>
    </row>
    <row r="249" spans="2:11" ht="12.75">
      <c r="B249" s="93"/>
      <c r="C249" s="121"/>
      <c r="D249" s="121"/>
      <c r="E249" s="56"/>
      <c r="F249" s="56"/>
      <c r="G249" s="56"/>
      <c r="H249" s="53"/>
      <c r="I249" s="220"/>
      <c r="J249" s="168"/>
      <c r="K249"/>
    </row>
    <row r="250" spans="2:11" ht="12.75">
      <c r="B250" s="93"/>
      <c r="C250" s="121" t="s">
        <v>21</v>
      </c>
      <c r="D250" s="121"/>
      <c r="E250" s="92">
        <f>SUM(E237:E249)</f>
        <v>0.5934802202348155</v>
      </c>
      <c r="F250" s="92">
        <f>SUM(F237:F249)</f>
        <v>1.3823563991997083</v>
      </c>
      <c r="G250" s="92">
        <f>SUM(G237:G249)</f>
        <v>1.382356399199708</v>
      </c>
      <c r="H250" s="57">
        <f>SUM(H237:H249)</f>
        <v>1.382356399199708</v>
      </c>
      <c r="I250" s="210">
        <f>SUM(I237:I249)</f>
        <v>1.1576353673593451</v>
      </c>
      <c r="J250" s="168"/>
      <c r="K250"/>
    </row>
    <row r="251" spans="2:11" ht="12.75">
      <c r="B251" s="93"/>
      <c r="C251" s="121"/>
      <c r="D251" s="121"/>
      <c r="E251" s="1"/>
      <c r="F251" s="1"/>
      <c r="G251" s="92"/>
      <c r="H251" s="57"/>
      <c r="I251" s="210"/>
      <c r="J251" s="168"/>
      <c r="K251"/>
    </row>
    <row r="252" spans="2:11" ht="12.75">
      <c r="B252" s="11" t="s">
        <v>74</v>
      </c>
      <c r="C252" s="121"/>
      <c r="D252" s="121"/>
      <c r="E252" s="1"/>
      <c r="F252" s="1"/>
      <c r="G252" s="92"/>
      <c r="H252" s="57"/>
      <c r="I252" s="210"/>
      <c r="J252" s="168"/>
      <c r="K252"/>
    </row>
    <row r="253" spans="2:11" ht="12.75">
      <c r="B253" s="93"/>
      <c r="C253" s="121"/>
      <c r="D253" s="121"/>
      <c r="E253" s="1"/>
      <c r="F253" s="1"/>
      <c r="G253" s="92"/>
      <c r="H253" s="57"/>
      <c r="I253" s="210"/>
      <c r="J253" s="168"/>
      <c r="K253"/>
    </row>
    <row r="254" spans="2:11" ht="12.75">
      <c r="B254" s="13" t="s">
        <v>19</v>
      </c>
      <c r="C254" s="121" t="s">
        <v>21</v>
      </c>
      <c r="D254" s="121"/>
      <c r="E254" s="92">
        <v>0.03960277614254488</v>
      </c>
      <c r="F254" s="92">
        <v>0.07920555228508976</v>
      </c>
      <c r="G254" s="92">
        <v>0.07920555228508976</v>
      </c>
      <c r="H254" s="57">
        <v>0.07920555228508976</v>
      </c>
      <c r="I254" s="210">
        <v>0.07920555228508976</v>
      </c>
      <c r="J254" s="168"/>
      <c r="K254"/>
    </row>
    <row r="255" spans="2:11" ht="12.75">
      <c r="B255" s="13" t="s">
        <v>20</v>
      </c>
      <c r="C255" s="121" t="s">
        <v>21</v>
      </c>
      <c r="D255" s="121"/>
      <c r="E255" s="92">
        <v>0</v>
      </c>
      <c r="F255" s="92">
        <v>0</v>
      </c>
      <c r="G255" s="92">
        <v>0</v>
      </c>
      <c r="H255" s="57">
        <v>0</v>
      </c>
      <c r="I255" s="210">
        <v>0</v>
      </c>
      <c r="J255" s="168"/>
      <c r="K255"/>
    </row>
    <row r="256" spans="2:11" ht="12.75">
      <c r="B256" s="13" t="s">
        <v>43</v>
      </c>
      <c r="C256" s="121" t="s">
        <v>21</v>
      </c>
      <c r="D256" s="121"/>
      <c r="E256" s="92">
        <v>0.07909184383836612</v>
      </c>
      <c r="F256" s="92">
        <v>0.15818368767673224</v>
      </c>
      <c r="G256" s="92">
        <v>0.15818368767673224</v>
      </c>
      <c r="H256" s="57">
        <v>0.15818368767673224</v>
      </c>
      <c r="I256" s="210">
        <v>0.15818368767673224</v>
      </c>
      <c r="J256" s="168"/>
      <c r="K256"/>
    </row>
    <row r="257" spans="2:11" ht="12.75">
      <c r="B257" s="13" t="s">
        <v>29</v>
      </c>
      <c r="C257" s="121" t="s">
        <v>21</v>
      </c>
      <c r="D257" s="121"/>
      <c r="E257" s="92">
        <v>0</v>
      </c>
      <c r="F257" s="92">
        <v>0</v>
      </c>
      <c r="G257" s="92">
        <v>0</v>
      </c>
      <c r="H257" s="57">
        <v>0</v>
      </c>
      <c r="I257" s="210">
        <v>0</v>
      </c>
      <c r="J257" s="168"/>
      <c r="K257"/>
    </row>
    <row r="258" spans="2:11" ht="12.75">
      <c r="B258" s="13" t="s">
        <v>1</v>
      </c>
      <c r="C258" s="121" t="s">
        <v>21</v>
      </c>
      <c r="D258" s="121"/>
      <c r="E258" s="92">
        <v>0.01137496532013343</v>
      </c>
      <c r="F258" s="92">
        <v>0.02274993064026686</v>
      </c>
      <c r="G258" s="92">
        <v>0.02274993064026686</v>
      </c>
      <c r="H258" s="57">
        <v>0.02274993064026686</v>
      </c>
      <c r="I258" s="210">
        <v>0.02274993064026686</v>
      </c>
      <c r="J258" s="168"/>
      <c r="K258"/>
    </row>
    <row r="259" spans="2:11" ht="12.75">
      <c r="B259" s="13" t="s">
        <v>10</v>
      </c>
      <c r="C259" s="121" t="s">
        <v>21</v>
      </c>
      <c r="D259" s="121"/>
      <c r="E259" s="92">
        <v>0.020013056024819217</v>
      </c>
      <c r="F259" s="92">
        <v>0.040026112049638435</v>
      </c>
      <c r="G259" s="92">
        <v>0.040026112049638435</v>
      </c>
      <c r="H259" s="57">
        <v>0.040026112049638435</v>
      </c>
      <c r="I259" s="210">
        <v>0.040026112049638435</v>
      </c>
      <c r="J259" s="168"/>
      <c r="K259"/>
    </row>
    <row r="260" spans="2:11" ht="12.75">
      <c r="B260" s="13" t="s">
        <v>8</v>
      </c>
      <c r="C260" s="121" t="s">
        <v>21</v>
      </c>
      <c r="D260" s="121"/>
      <c r="E260" s="92">
        <v>0.0015796045536792067</v>
      </c>
      <c r="F260" s="92">
        <v>0.0031592091073584135</v>
      </c>
      <c r="G260" s="92">
        <v>0.0031592091073584135</v>
      </c>
      <c r="H260" s="57">
        <v>0.0031592091073584135</v>
      </c>
      <c r="I260" s="210">
        <v>0.0031592091073584135</v>
      </c>
      <c r="J260" s="168"/>
      <c r="K260"/>
    </row>
    <row r="261" spans="2:11" ht="12.75">
      <c r="B261" s="13" t="s">
        <v>44</v>
      </c>
      <c r="C261" s="121" t="s">
        <v>21</v>
      </c>
      <c r="D261" s="121"/>
      <c r="E261" s="92">
        <v>0.37809566209515666</v>
      </c>
      <c r="F261" s="92">
        <v>0.7561913241903133</v>
      </c>
      <c r="G261" s="92">
        <v>0.7561913241903133</v>
      </c>
      <c r="H261" s="57">
        <v>0.7561913241903133</v>
      </c>
      <c r="I261" s="210">
        <v>0.7561913241903133</v>
      </c>
      <c r="J261" s="168"/>
      <c r="K261"/>
    </row>
    <row r="262" spans="2:11" ht="12.75">
      <c r="B262" s="13" t="s">
        <v>22</v>
      </c>
      <c r="C262" s="121" t="s">
        <v>21</v>
      </c>
      <c r="D262" s="121"/>
      <c r="E262" s="92">
        <v>0</v>
      </c>
      <c r="F262" s="92">
        <v>0</v>
      </c>
      <c r="G262" s="92">
        <v>0</v>
      </c>
      <c r="H262" s="57">
        <v>0</v>
      </c>
      <c r="I262" s="210">
        <v>0</v>
      </c>
      <c r="J262" s="168"/>
      <c r="K262"/>
    </row>
    <row r="263" spans="2:11" ht="12.75">
      <c r="B263" s="13" t="s">
        <v>2</v>
      </c>
      <c r="C263" s="121" t="s">
        <v>21</v>
      </c>
      <c r="D263" s="121"/>
      <c r="E263" s="92">
        <v>0.36383002031736916</v>
      </c>
      <c r="F263" s="92">
        <v>0.7276600406347383</v>
      </c>
      <c r="G263" s="92">
        <v>0.7276600406347383</v>
      </c>
      <c r="H263" s="57">
        <v>0.7276600406347383</v>
      </c>
      <c r="I263" s="210">
        <v>0.7276600406347383</v>
      </c>
      <c r="J263" s="168"/>
      <c r="K263"/>
    </row>
    <row r="264" spans="2:11" ht="12.75">
      <c r="B264" s="13" t="s">
        <v>31</v>
      </c>
      <c r="C264" s="121" t="s">
        <v>21</v>
      </c>
      <c r="D264" s="121"/>
      <c r="E264" s="92">
        <v>0</v>
      </c>
      <c r="F264" s="92">
        <v>0</v>
      </c>
      <c r="G264" s="92">
        <v>0</v>
      </c>
      <c r="H264" s="57">
        <v>0</v>
      </c>
      <c r="I264" s="210">
        <v>0</v>
      </c>
      <c r="J264" s="168"/>
      <c r="K264"/>
    </row>
    <row r="265" spans="2:11" ht="12.75">
      <c r="B265" s="13" t="s">
        <v>3</v>
      </c>
      <c r="C265" s="121" t="s">
        <v>21</v>
      </c>
      <c r="D265" s="121"/>
      <c r="E265" s="92"/>
      <c r="F265" s="92"/>
      <c r="G265" s="92"/>
      <c r="H265" s="57"/>
      <c r="I265" s="210"/>
      <c r="J265" s="168"/>
      <c r="K265"/>
    </row>
    <row r="266" spans="2:11" ht="12.75">
      <c r="B266" s="93"/>
      <c r="C266" s="121"/>
      <c r="D266" s="121"/>
      <c r="E266" s="56"/>
      <c r="F266" s="56"/>
      <c r="G266" s="56"/>
      <c r="H266" s="53"/>
      <c r="I266" s="220"/>
      <c r="J266" s="168"/>
      <c r="K266"/>
    </row>
    <row r="267" spans="2:11" ht="12.75">
      <c r="B267" s="93"/>
      <c r="C267" s="121" t="s">
        <v>21</v>
      </c>
      <c r="D267" s="121"/>
      <c r="E267" s="92">
        <f>SUM(E254:E266)</f>
        <v>0.8935879282920687</v>
      </c>
      <c r="F267" s="92">
        <f>SUM(F254:F266)</f>
        <v>1.7871758565841374</v>
      </c>
      <c r="G267" s="92">
        <f>SUM(G254:G266)</f>
        <v>1.7871758565841374</v>
      </c>
      <c r="H267" s="57">
        <f>SUM(H254:H266)</f>
        <v>1.7871758565841374</v>
      </c>
      <c r="I267" s="210">
        <f>SUM(I254:I266)</f>
        <v>1.7871758565841374</v>
      </c>
      <c r="J267" s="168"/>
      <c r="K267"/>
    </row>
    <row r="268" spans="2:11" ht="12.75">
      <c r="B268" s="93"/>
      <c r="C268" s="121"/>
      <c r="D268" s="121"/>
      <c r="E268" s="92"/>
      <c r="F268" s="92"/>
      <c r="G268" s="92"/>
      <c r="H268" s="57"/>
      <c r="I268" s="210"/>
      <c r="J268" s="168"/>
      <c r="K268"/>
    </row>
    <row r="269" spans="2:10" ht="12.75">
      <c r="B269" s="93"/>
      <c r="C269" s="121"/>
      <c r="D269" s="121"/>
      <c r="E269" s="57"/>
      <c r="F269" s="57"/>
      <c r="G269" s="57"/>
      <c r="H269" s="57"/>
      <c r="I269" s="210"/>
      <c r="J269" s="57"/>
    </row>
    <row r="270" spans="1:10" s="30" customFormat="1" ht="12.75">
      <c r="A270" s="13"/>
      <c r="B270" s="113" t="s">
        <v>81</v>
      </c>
      <c r="C270" s="122"/>
      <c r="D270" s="122"/>
      <c r="E270" s="114"/>
      <c r="F270" s="112"/>
      <c r="G270" s="112"/>
      <c r="H270" s="112"/>
      <c r="I270" s="221"/>
      <c r="J270" s="114"/>
    </row>
    <row r="271" spans="2:10" ht="12.75">
      <c r="B271" s="25" t="s">
        <v>128</v>
      </c>
      <c r="C271" s="121"/>
      <c r="D271" s="121"/>
      <c r="E271" s="57"/>
      <c r="F271" s="57"/>
      <c r="G271" s="57"/>
      <c r="H271" s="57"/>
      <c r="I271" s="210"/>
      <c r="J271" s="57"/>
    </row>
    <row r="272" spans="2:10" ht="12.75">
      <c r="B272" s="13" t="s">
        <v>19</v>
      </c>
      <c r="C272" s="121" t="s">
        <v>21</v>
      </c>
      <c r="D272" s="121"/>
      <c r="E272" s="57"/>
      <c r="F272" s="57">
        <f aca="true" t="shared" si="7" ref="F272:J283">E272+E289-E306-E323-E340-E357-E374</f>
        <v>9.577067205204326</v>
      </c>
      <c r="G272" s="57">
        <f t="shared" si="7"/>
        <v>13.664852433688305</v>
      </c>
      <c r="H272" s="57">
        <f t="shared" si="7"/>
        <v>20.5587181831928</v>
      </c>
      <c r="I272" s="210">
        <f t="shared" si="7"/>
        <v>31.048504989547258</v>
      </c>
      <c r="J272" s="57">
        <f t="shared" si="7"/>
        <v>41.075915028938084</v>
      </c>
    </row>
    <row r="273" spans="2:10" ht="12.75">
      <c r="B273" s="13" t="s">
        <v>20</v>
      </c>
      <c r="C273" s="121" t="s">
        <v>21</v>
      </c>
      <c r="D273" s="121"/>
      <c r="E273" s="57"/>
      <c r="F273" s="57">
        <f t="shared" si="7"/>
        <v>0</v>
      </c>
      <c r="G273" s="57">
        <f t="shared" si="7"/>
        <v>0</v>
      </c>
      <c r="H273" s="57">
        <f t="shared" si="7"/>
        <v>0</v>
      </c>
      <c r="I273" s="210">
        <f t="shared" si="7"/>
        <v>0</v>
      </c>
      <c r="J273" s="57">
        <f t="shared" si="7"/>
        <v>0</v>
      </c>
    </row>
    <row r="274" spans="2:10" ht="12.75">
      <c r="B274" s="13" t="s">
        <v>43</v>
      </c>
      <c r="C274" s="121" t="s">
        <v>21</v>
      </c>
      <c r="D274" s="121"/>
      <c r="E274" s="57"/>
      <c r="F274" s="57">
        <f t="shared" si="7"/>
        <v>6.505190255495276</v>
      </c>
      <c r="G274" s="57">
        <f t="shared" si="7"/>
        <v>18.93054859945255</v>
      </c>
      <c r="H274" s="57">
        <f t="shared" si="7"/>
        <v>31.84567394086341</v>
      </c>
      <c r="I274" s="210">
        <f t="shared" si="7"/>
        <v>44.98277023215511</v>
      </c>
      <c r="J274" s="57">
        <f t="shared" si="7"/>
        <v>60.311379883533526</v>
      </c>
    </row>
    <row r="275" spans="2:10" ht="12.75">
      <c r="B275" s="13" t="s">
        <v>29</v>
      </c>
      <c r="C275" s="121" t="s">
        <v>21</v>
      </c>
      <c r="D275" s="121"/>
      <c r="E275" s="57"/>
      <c r="F275" s="57">
        <f t="shared" si="7"/>
        <v>0</v>
      </c>
      <c r="G275" s="57">
        <f t="shared" si="7"/>
        <v>0</v>
      </c>
      <c r="H275" s="57">
        <f t="shared" si="7"/>
        <v>0</v>
      </c>
      <c r="I275" s="210">
        <f t="shared" si="7"/>
        <v>0</v>
      </c>
      <c r="J275" s="57">
        <f t="shared" si="7"/>
        <v>0</v>
      </c>
    </row>
    <row r="276" spans="2:10" ht="12.75">
      <c r="B276" s="13" t="s">
        <v>1</v>
      </c>
      <c r="C276" s="121" t="s">
        <v>21</v>
      </c>
      <c r="D276" s="121"/>
      <c r="E276" s="57"/>
      <c r="F276" s="57">
        <f t="shared" si="7"/>
        <v>0.6681286418976522</v>
      </c>
      <c r="G276" s="57">
        <f t="shared" si="7"/>
        <v>0.9124403578716668</v>
      </c>
      <c r="H276" s="57">
        <f t="shared" si="7"/>
        <v>1.1184206291191952</v>
      </c>
      <c r="I276" s="210">
        <f t="shared" si="7"/>
        <v>1.356340102520632</v>
      </c>
      <c r="J276" s="57">
        <f t="shared" si="7"/>
        <v>1.5233908920147916</v>
      </c>
    </row>
    <row r="277" spans="2:10" ht="12.75">
      <c r="B277" s="13" t="s">
        <v>10</v>
      </c>
      <c r="C277" s="121" t="s">
        <v>21</v>
      </c>
      <c r="D277" s="121"/>
      <c r="E277" s="57"/>
      <c r="F277" s="57">
        <f t="shared" si="7"/>
        <v>2.0058414526249675</v>
      </c>
      <c r="G277" s="57">
        <f t="shared" si="7"/>
        <v>2.379657101378612</v>
      </c>
      <c r="H277" s="57">
        <f t="shared" si="7"/>
        <v>2.318912022936256</v>
      </c>
      <c r="I277" s="210">
        <f t="shared" si="7"/>
        <v>2.2581669444939</v>
      </c>
      <c r="J277" s="57">
        <f t="shared" si="7"/>
        <v>2.197421866051544</v>
      </c>
    </row>
    <row r="278" spans="2:10" ht="12.75">
      <c r="B278" s="13" t="s">
        <v>8</v>
      </c>
      <c r="C278" s="121" t="s">
        <v>21</v>
      </c>
      <c r="D278" s="121"/>
      <c r="E278" s="57"/>
      <c r="F278" s="57">
        <f t="shared" si="7"/>
        <v>0.45362944205239125</v>
      </c>
      <c r="G278" s="57">
        <f t="shared" si="7"/>
        <v>2.499196057264781</v>
      </c>
      <c r="H278" s="57">
        <f t="shared" si="7"/>
        <v>9.126959283145688</v>
      </c>
      <c r="I278" s="210">
        <f t="shared" si="7"/>
        <v>8.896932697169941</v>
      </c>
      <c r="J278" s="57">
        <f t="shared" si="7"/>
        <v>8.666906111194194</v>
      </c>
    </row>
    <row r="279" spans="2:10" ht="12.75">
      <c r="B279" s="13" t="s">
        <v>44</v>
      </c>
      <c r="C279" s="121" t="s">
        <v>21</v>
      </c>
      <c r="D279" s="121"/>
      <c r="E279" s="57"/>
      <c r="F279" s="57">
        <f t="shared" si="7"/>
        <v>7.377178127412587</v>
      </c>
      <c r="G279" s="57">
        <f t="shared" si="7"/>
        <v>23.39296613436139</v>
      </c>
      <c r="H279" s="57">
        <f t="shared" si="7"/>
        <v>41.39239735331004</v>
      </c>
      <c r="I279" s="210">
        <f t="shared" si="7"/>
        <v>60.109264602241545</v>
      </c>
      <c r="J279" s="57">
        <f t="shared" si="7"/>
        <v>80.16598351055056</v>
      </c>
    </row>
    <row r="280" spans="2:10" ht="12.75">
      <c r="B280" s="13" t="s">
        <v>22</v>
      </c>
      <c r="C280" s="121" t="s">
        <v>21</v>
      </c>
      <c r="D280" s="121"/>
      <c r="E280" s="57"/>
      <c r="F280" s="57">
        <f t="shared" si="7"/>
        <v>0</v>
      </c>
      <c r="G280" s="57">
        <f t="shared" si="7"/>
        <v>0.6489981921613418</v>
      </c>
      <c r="H280" s="57">
        <f t="shared" si="7"/>
        <v>0.5840983729452076</v>
      </c>
      <c r="I280" s="210">
        <f t="shared" si="7"/>
        <v>0.5191985537290734</v>
      </c>
      <c r="J280" s="57">
        <f t="shared" si="7"/>
        <v>1.091424009229185</v>
      </c>
    </row>
    <row r="281" spans="2:10" ht="12.75">
      <c r="B281" s="13" t="s">
        <v>2</v>
      </c>
      <c r="C281" s="121" t="s">
        <v>21</v>
      </c>
      <c r="D281" s="121"/>
      <c r="E281" s="57"/>
      <c r="F281" s="57">
        <f t="shared" si="7"/>
        <v>1.4825906591253721</v>
      </c>
      <c r="G281" s="57">
        <f t="shared" si="7"/>
        <v>5.785275347307356</v>
      </c>
      <c r="H281" s="57">
        <f t="shared" si="7"/>
        <v>8.043395858404052</v>
      </c>
      <c r="I281" s="210">
        <f t="shared" si="7"/>
        <v>11.152941054026964</v>
      </c>
      <c r="J281" s="57">
        <f t="shared" si="7"/>
        <v>9.872344868912451</v>
      </c>
    </row>
    <row r="282" spans="2:10" ht="12.75">
      <c r="B282" s="13" t="s">
        <v>31</v>
      </c>
      <c r="C282" s="121" t="s">
        <v>21</v>
      </c>
      <c r="D282" s="121"/>
      <c r="E282" s="57"/>
      <c r="F282" s="57">
        <f t="shared" si="7"/>
        <v>0</v>
      </c>
      <c r="G282" s="57">
        <f t="shared" si="7"/>
        <v>0</v>
      </c>
      <c r="H282" s="57">
        <f t="shared" si="7"/>
        <v>0</v>
      </c>
      <c r="I282" s="210">
        <f t="shared" si="7"/>
        <v>0</v>
      </c>
      <c r="J282" s="57">
        <f t="shared" si="7"/>
        <v>0</v>
      </c>
    </row>
    <row r="283" spans="2:10" ht="12.75">
      <c r="B283" s="13" t="s">
        <v>3</v>
      </c>
      <c r="C283" s="121" t="s">
        <v>21</v>
      </c>
      <c r="D283" s="121"/>
      <c r="E283" s="57"/>
      <c r="F283" s="57">
        <f t="shared" si="7"/>
        <v>0</v>
      </c>
      <c r="G283" s="57">
        <f t="shared" si="7"/>
        <v>0</v>
      </c>
      <c r="H283" s="57">
        <f t="shared" si="7"/>
        <v>0</v>
      </c>
      <c r="I283" s="210">
        <f t="shared" si="7"/>
        <v>0</v>
      </c>
      <c r="J283" s="57">
        <f t="shared" si="7"/>
        <v>0</v>
      </c>
    </row>
    <row r="284" spans="2:10" ht="12.75">
      <c r="B284" s="37"/>
      <c r="C284" s="121"/>
      <c r="D284" s="121"/>
      <c r="E284" s="56"/>
      <c r="F284" s="56"/>
      <c r="G284" s="56"/>
      <c r="H284" s="56"/>
      <c r="I284" s="217"/>
      <c r="J284" s="56"/>
    </row>
    <row r="285" spans="2:10" ht="12.75">
      <c r="B285" s="93"/>
      <c r="C285" s="121" t="s">
        <v>21</v>
      </c>
      <c r="D285" s="121"/>
      <c r="E285" s="92"/>
      <c r="F285" s="92">
        <f>SUM(F272:F284)</f>
        <v>28.069625783812572</v>
      </c>
      <c r="G285" s="92">
        <f>SUM(G272:G284)</f>
        <v>68.213934223486</v>
      </c>
      <c r="H285" s="92">
        <f>SUM(H272:H284)</f>
        <v>114.98857564391665</v>
      </c>
      <c r="I285" s="219">
        <f>SUM(I272:I284)</f>
        <v>160.32411917588442</v>
      </c>
      <c r="J285" s="92">
        <f>SUM(J272:J284)</f>
        <v>204.90476617042432</v>
      </c>
    </row>
    <row r="286" spans="2:10" ht="12.75">
      <c r="B286" s="93"/>
      <c r="C286" s="121"/>
      <c r="D286" s="121"/>
      <c r="E286" s="57"/>
      <c r="F286" s="57"/>
      <c r="G286" s="57"/>
      <c r="H286" s="57"/>
      <c r="I286" s="210"/>
      <c r="J286" s="57"/>
    </row>
    <row r="287" spans="2:10" ht="12.75">
      <c r="B287" s="45" t="s">
        <v>82</v>
      </c>
      <c r="C287" s="47"/>
      <c r="D287" s="47"/>
      <c r="E287" s="57"/>
      <c r="F287" s="57"/>
      <c r="G287" s="57"/>
      <c r="H287" s="57"/>
      <c r="I287" s="210"/>
      <c r="J287" s="57"/>
    </row>
    <row r="288" spans="2:10" ht="12.75">
      <c r="B288" s="46"/>
      <c r="C288" s="121"/>
      <c r="D288" s="121"/>
      <c r="E288" s="57"/>
      <c r="F288" s="57"/>
      <c r="G288" s="57"/>
      <c r="H288" s="57"/>
      <c r="I288" s="210"/>
      <c r="J288" s="57"/>
    </row>
    <row r="289" spans="2:13" ht="12.75">
      <c r="B289" s="13" t="s">
        <v>19</v>
      </c>
      <c r="C289" s="121" t="s">
        <v>21</v>
      </c>
      <c r="D289" s="121"/>
      <c r="E289" s="57">
        <f>'Data Input'!F52</f>
        <v>9.577067205204326</v>
      </c>
      <c r="F289" s="57">
        <f>'Data Input'!I52</f>
        <v>4.16759412186068</v>
      </c>
      <c r="G289" s="57">
        <f>'Data Input'!J52</f>
        <v>7.008404593896707</v>
      </c>
      <c r="H289" s="57">
        <f>'Data Input'!K52</f>
        <v>10.662729022362477</v>
      </c>
      <c r="I289" s="210">
        <f>'Data Input'!L52</f>
        <v>10.289208330585197</v>
      </c>
      <c r="J289" s="168"/>
      <c r="K289"/>
      <c r="L289"/>
      <c r="M289"/>
    </row>
    <row r="290" spans="2:13" ht="12.75">
      <c r="B290" s="13" t="s">
        <v>20</v>
      </c>
      <c r="C290" s="121" t="s">
        <v>21</v>
      </c>
      <c r="D290" s="121"/>
      <c r="E290" s="57">
        <f>'Data Input'!F53</f>
        <v>0</v>
      </c>
      <c r="F290" s="57">
        <f>'Data Input'!I53</f>
        <v>0</v>
      </c>
      <c r="G290" s="57">
        <f>'Data Input'!J53</f>
        <v>0</v>
      </c>
      <c r="H290" s="57">
        <f>'Data Input'!K53</f>
        <v>0</v>
      </c>
      <c r="I290" s="210">
        <f>'Data Input'!L53</f>
        <v>0</v>
      </c>
      <c r="J290" s="168"/>
      <c r="K290"/>
      <c r="L290"/>
      <c r="M290"/>
    </row>
    <row r="291" spans="2:13" ht="12.75">
      <c r="B291" s="13" t="s">
        <v>43</v>
      </c>
      <c r="C291" s="121" t="s">
        <v>21</v>
      </c>
      <c r="D291" s="121"/>
      <c r="E291" s="57">
        <f>'Data Input'!F54</f>
        <v>6.505190255495276</v>
      </c>
      <c r="F291" s="57">
        <f>'Data Input'!I54</f>
        <v>12.533778181548861</v>
      </c>
      <c r="G291" s="57">
        <f>'Data Input'!J54</f>
        <v>13.232441482028266</v>
      </c>
      <c r="H291" s="57">
        <f>'Data Input'!K54</f>
        <v>13.67495312327625</v>
      </c>
      <c r="I291" s="210">
        <f>'Data Input'!L54</f>
        <v>16.0943823687509</v>
      </c>
      <c r="J291" s="168"/>
      <c r="K291"/>
      <c r="L291"/>
      <c r="M291"/>
    </row>
    <row r="292" spans="2:13" ht="12.75">
      <c r="B292" s="13" t="s">
        <v>29</v>
      </c>
      <c r="C292" s="121" t="s">
        <v>21</v>
      </c>
      <c r="D292" s="121"/>
      <c r="E292" s="57">
        <f>'Data Input'!F55</f>
        <v>0</v>
      </c>
      <c r="F292" s="57">
        <f>'Data Input'!I55</f>
        <v>0</v>
      </c>
      <c r="G292" s="57">
        <f>'Data Input'!J55</f>
        <v>0</v>
      </c>
      <c r="H292" s="57">
        <f>'Data Input'!K55</f>
        <v>0</v>
      </c>
      <c r="I292" s="210">
        <f>'Data Input'!L55</f>
        <v>0</v>
      </c>
      <c r="J292" s="168"/>
      <c r="K292"/>
      <c r="L292"/>
      <c r="M292"/>
    </row>
    <row r="293" spans="2:13" ht="12.75">
      <c r="B293" s="13" t="s">
        <v>1</v>
      </c>
      <c r="C293" s="121" t="s">
        <v>21</v>
      </c>
      <c r="D293" s="121"/>
      <c r="E293" s="57">
        <f>'Data Input'!F56</f>
        <v>0.6681286418976522</v>
      </c>
      <c r="F293" s="57">
        <f>'Data Input'!I56</f>
        <v>0.2610149320214558</v>
      </c>
      <c r="G293" s="57">
        <f>'Data Input'!J56</f>
        <v>0.2292088605955061</v>
      </c>
      <c r="H293" s="57">
        <f>'Data Input'!K56</f>
        <v>0.2668782842643022</v>
      </c>
      <c r="I293" s="210">
        <f>'Data Input'!L56</f>
        <v>0.20268155746363245</v>
      </c>
      <c r="J293" s="168"/>
      <c r="K293"/>
      <c r="L293"/>
      <c r="M293"/>
    </row>
    <row r="294" spans="2:13" ht="12.75">
      <c r="B294" s="13" t="s">
        <v>10</v>
      </c>
      <c r="C294" s="121" t="s">
        <v>21</v>
      </c>
      <c r="D294" s="121"/>
      <c r="E294" s="57">
        <f>'Data Input'!F57</f>
        <v>2.0058414526249675</v>
      </c>
      <c r="F294" s="57">
        <f>'Data Input'!I57</f>
        <v>0.42396168506926873</v>
      </c>
      <c r="G294" s="57">
        <f>'Data Input'!J57</f>
        <v>0</v>
      </c>
      <c r="H294" s="57">
        <f>'Data Input'!K57</f>
        <v>0</v>
      </c>
      <c r="I294" s="210">
        <f>'Data Input'!L57</f>
        <v>0</v>
      </c>
      <c r="J294" s="168"/>
      <c r="K294"/>
      <c r="L294"/>
      <c r="M294"/>
    </row>
    <row r="295" spans="2:13" ht="12.75">
      <c r="B295" s="13" t="s">
        <v>8</v>
      </c>
      <c r="C295" s="121" t="s">
        <v>21</v>
      </c>
      <c r="D295" s="121"/>
      <c r="E295" s="57">
        <f>'Data Input'!F58</f>
        <v>0.45362944205239125</v>
      </c>
      <c r="F295" s="57">
        <f>'Data Input'!I58</f>
        <v>2.0569073512636993</v>
      </c>
      <c r="G295" s="57">
        <f>'Data Input'!J58</f>
        <v>6.690526645713807</v>
      </c>
      <c r="H295" s="57">
        <f>'Data Input'!K58</f>
        <v>0</v>
      </c>
      <c r="I295" s="210">
        <f>'Data Input'!L58</f>
        <v>0</v>
      </c>
      <c r="J295" s="168"/>
      <c r="K295"/>
      <c r="L295"/>
      <c r="M295"/>
    </row>
    <row r="296" spans="2:13" ht="12.75">
      <c r="B296" s="13" t="s">
        <v>44</v>
      </c>
      <c r="C296" s="121" t="s">
        <v>21</v>
      </c>
      <c r="D296" s="121"/>
      <c r="E296" s="57">
        <f>'Data Input'!F59</f>
        <v>7.377178127412587</v>
      </c>
      <c r="F296" s="57">
        <f>'Data Input'!I59</f>
        <v>16.310875132045307</v>
      </c>
      <c r="G296" s="57">
        <f>'Data Input'!J59</f>
        <v>18.94695334932696</v>
      </c>
      <c r="H296" s="57">
        <f>'Data Input'!K59</f>
        <v>20.422267513282893</v>
      </c>
      <c r="I296" s="210">
        <f>'Data Input'!L59</f>
        <v>22.579009873191733</v>
      </c>
      <c r="J296" s="168"/>
      <c r="K296"/>
      <c r="L296"/>
      <c r="M296"/>
    </row>
    <row r="297" spans="2:13" ht="12.75">
      <c r="B297" s="13" t="s">
        <v>22</v>
      </c>
      <c r="C297" s="121" t="s">
        <v>21</v>
      </c>
      <c r="D297" s="121"/>
      <c r="E297" s="57">
        <f>'Data Input'!F60</f>
        <v>0</v>
      </c>
      <c r="F297" s="57">
        <f>'Data Input'!I60</f>
        <v>0.6489981921613418</v>
      </c>
      <c r="G297" s="57">
        <f>'Data Input'!J60</f>
        <v>0</v>
      </c>
      <c r="H297" s="57">
        <f>'Data Input'!K60</f>
        <v>0</v>
      </c>
      <c r="I297" s="210">
        <f>'Data Input'!L60</f>
        <v>0.6371252747162455</v>
      </c>
      <c r="J297" s="168"/>
      <c r="K297"/>
      <c r="L297"/>
      <c r="M297"/>
    </row>
    <row r="298" spans="2:13" ht="12.75">
      <c r="B298" s="13" t="s">
        <v>2</v>
      </c>
      <c r="C298" s="121" t="s">
        <v>21</v>
      </c>
      <c r="D298" s="121"/>
      <c r="E298" s="57">
        <f>'Data Input'!F61</f>
        <v>1.4825906591253721</v>
      </c>
      <c r="F298" s="57">
        <f>'Data Input'!I61</f>
        <v>4.599202820007058</v>
      </c>
      <c r="G298" s="57">
        <f>'Data Input'!J61</f>
        <v>3.4744792069231822</v>
      </c>
      <c r="H298" s="57">
        <f>'Data Input'!K61</f>
        <v>5.020799732834035</v>
      </c>
      <c r="I298" s="210">
        <f>'Data Input'!L61</f>
        <v>1.6348182986634163</v>
      </c>
      <c r="J298" s="168"/>
      <c r="K298"/>
      <c r="L298"/>
      <c r="M298"/>
    </row>
    <row r="299" spans="2:13" ht="12.75">
      <c r="B299" s="13" t="s">
        <v>31</v>
      </c>
      <c r="C299" s="121" t="s">
        <v>21</v>
      </c>
      <c r="D299" s="121"/>
      <c r="E299" s="57">
        <f>'Data Input'!F62</f>
        <v>0</v>
      </c>
      <c r="F299" s="57">
        <f>'Data Input'!I62</f>
        <v>0</v>
      </c>
      <c r="G299" s="57">
        <f>'Data Input'!J62</f>
        <v>0</v>
      </c>
      <c r="H299" s="57">
        <f>'Data Input'!K62</f>
        <v>0</v>
      </c>
      <c r="I299" s="210">
        <f>'Data Input'!L62</f>
        <v>0</v>
      </c>
      <c r="J299" s="168"/>
      <c r="K299"/>
      <c r="L299"/>
      <c r="M299"/>
    </row>
    <row r="300" spans="2:13" ht="12.75">
      <c r="B300" s="13" t="s">
        <v>3</v>
      </c>
      <c r="C300" s="121" t="s">
        <v>21</v>
      </c>
      <c r="D300" s="121"/>
      <c r="E300" s="57">
        <f>'Data Input'!F63</f>
        <v>0</v>
      </c>
      <c r="F300" s="57">
        <f>'Data Input'!I63</f>
        <v>0</v>
      </c>
      <c r="G300" s="57">
        <f>'Data Input'!J63</f>
        <v>0</v>
      </c>
      <c r="H300" s="57">
        <f>'Data Input'!K63</f>
        <v>0</v>
      </c>
      <c r="I300" s="210">
        <f>'Data Input'!L63</f>
        <v>0</v>
      </c>
      <c r="J300" s="168"/>
      <c r="K300"/>
      <c r="L300"/>
      <c r="M300"/>
    </row>
    <row r="301" spans="2:13" ht="12.75">
      <c r="B301" s="37"/>
      <c r="C301" s="121"/>
      <c r="D301" s="121"/>
      <c r="E301" s="56"/>
      <c r="F301" s="56"/>
      <c r="G301" s="56"/>
      <c r="H301" s="56"/>
      <c r="I301" s="217"/>
      <c r="J301" s="168"/>
      <c r="K301"/>
      <c r="L301"/>
      <c r="M301"/>
    </row>
    <row r="302" spans="2:13" ht="12.75">
      <c r="B302" s="93"/>
      <c r="C302" s="121" t="s">
        <v>21</v>
      </c>
      <c r="D302" s="121"/>
      <c r="E302" s="92">
        <f>SUM(E289:E301)</f>
        <v>28.069625783812572</v>
      </c>
      <c r="F302" s="92">
        <f>SUM(F289:F301)</f>
        <v>41.002332415977676</v>
      </c>
      <c r="G302" s="92">
        <f>SUM(G289:G301)</f>
        <v>49.58201413848443</v>
      </c>
      <c r="H302" s="92">
        <f>SUM(H289:H301)</f>
        <v>50.04762767601996</v>
      </c>
      <c r="I302" s="219">
        <f>SUM(I289:I301)</f>
        <v>51.437225703371126</v>
      </c>
      <c r="J302" s="168"/>
      <c r="K302"/>
      <c r="L302"/>
      <c r="M302"/>
    </row>
    <row r="303" spans="2:13" ht="12.75">
      <c r="B303" s="93"/>
      <c r="C303" s="121"/>
      <c r="D303" s="121"/>
      <c r="E303" s="92"/>
      <c r="F303" s="92"/>
      <c r="G303" s="92"/>
      <c r="H303" s="92"/>
      <c r="I303" s="219"/>
      <c r="J303" s="168"/>
      <c r="K303"/>
      <c r="L303"/>
      <c r="M303"/>
    </row>
    <row r="304" spans="2:13" ht="12.75">
      <c r="B304" s="11" t="s">
        <v>75</v>
      </c>
      <c r="C304" s="121"/>
      <c r="D304" s="121"/>
      <c r="E304" s="57"/>
      <c r="F304" s="57"/>
      <c r="G304" s="57"/>
      <c r="H304" s="57"/>
      <c r="I304" s="210"/>
      <c r="J304" s="168"/>
      <c r="K304"/>
      <c r="L304"/>
      <c r="M304"/>
    </row>
    <row r="305" spans="2:13" ht="12.75">
      <c r="B305" s="93"/>
      <c r="C305" s="121"/>
      <c r="D305" s="121"/>
      <c r="E305" s="57"/>
      <c r="F305" s="57"/>
      <c r="G305" s="57"/>
      <c r="H305" s="57"/>
      <c r="I305" s="210"/>
      <c r="J305" s="168"/>
      <c r="K305"/>
      <c r="L305"/>
      <c r="M305"/>
    </row>
    <row r="306" spans="2:13" ht="12.75">
      <c r="B306" s="13" t="s">
        <v>19</v>
      </c>
      <c r="C306" s="121" t="s">
        <v>21</v>
      </c>
      <c r="D306" s="121"/>
      <c r="E306" s="57"/>
      <c r="F306" s="92">
        <f>E289/'Data Input'!E69</f>
        <v>0.07980889337670272</v>
      </c>
      <c r="G306" s="92">
        <f>IF($E289-SUM($E306:F306)&lt;$E289/'Data Input'!$E69,$E289-SUM($E306:F306),$E289/'Data Input'!$E69)</f>
        <v>0.07980889337670272</v>
      </c>
      <c r="H306" s="92">
        <f>IF($E289-SUM($E306:G306)&lt;$E289/'Data Input'!$E69,$E289-SUM($E306:G306),$E289/'Data Input'!$E69)</f>
        <v>0.07980889337670272</v>
      </c>
      <c r="I306" s="219">
        <f>IF($E289-SUM($E306:H306)&lt;$E289/'Data Input'!$E69,$E289-SUM($E306:H306),$E289/'Data Input'!$E69)</f>
        <v>0.07980889337670272</v>
      </c>
      <c r="J306" s="168"/>
      <c r="K306"/>
      <c r="L306"/>
      <c r="M306"/>
    </row>
    <row r="307" spans="2:13" ht="12.75">
      <c r="B307" s="13" t="s">
        <v>20</v>
      </c>
      <c r="C307" s="121" t="s">
        <v>21</v>
      </c>
      <c r="D307" s="121"/>
      <c r="E307" s="57"/>
      <c r="F307" s="92">
        <f>E290/'Data Input'!E70</f>
        <v>0</v>
      </c>
      <c r="G307" s="92">
        <f>IF($E290-SUM($E307:F307)&lt;$E290/'Data Input'!$E70,$E290-SUM($E307:F307),$E290/'Data Input'!$E70)</f>
        <v>0</v>
      </c>
      <c r="H307" s="92">
        <f>IF($E290-SUM($E307:G307)&lt;$E290/'Data Input'!$E70,$E290-SUM($E307:G307),$E290/'Data Input'!$E70)</f>
        <v>0</v>
      </c>
      <c r="I307" s="219">
        <f>IF($E290-SUM($E307:H307)&lt;$E290/'Data Input'!$E70,$E290-SUM($E307:H307),$E290/'Data Input'!$E70)</f>
        <v>0</v>
      </c>
      <c r="J307" s="168"/>
      <c r="K307"/>
      <c r="L307"/>
      <c r="M307"/>
    </row>
    <row r="308" spans="2:13" ht="12.75">
      <c r="B308" s="13" t="s">
        <v>43</v>
      </c>
      <c r="C308" s="121" t="s">
        <v>21</v>
      </c>
      <c r="D308" s="121"/>
      <c r="E308" s="57"/>
      <c r="F308" s="92">
        <f>E291/'Data Input'!E71</f>
        <v>0.10841983759158794</v>
      </c>
      <c r="G308" s="92">
        <f>IF($E291-SUM($E308:F308)&lt;$E291/'Data Input'!$E71,$E291-SUM($E308:F308),$E291/'Data Input'!$E71)</f>
        <v>0.10841983759158794</v>
      </c>
      <c r="H308" s="92">
        <f>IF($E291-SUM($E308:G308)&lt;$E291/'Data Input'!$E71,$E291-SUM($E308:G308),$E291/'Data Input'!$E71)</f>
        <v>0.10841983759158794</v>
      </c>
      <c r="I308" s="219">
        <f>IF($E291-SUM($E308:H308)&lt;$E291/'Data Input'!$E71,$E291-SUM($E308:H308),$E291/'Data Input'!$E71)</f>
        <v>0.10841983759158794</v>
      </c>
      <c r="J308" s="168"/>
      <c r="K308"/>
      <c r="L308"/>
      <c r="M308"/>
    </row>
    <row r="309" spans="2:13" ht="12.75">
      <c r="B309" s="13" t="s">
        <v>29</v>
      </c>
      <c r="C309" s="121" t="s">
        <v>21</v>
      </c>
      <c r="D309" s="121"/>
      <c r="E309" s="57"/>
      <c r="F309" s="92">
        <f>E292/'Data Input'!E72</f>
        <v>0</v>
      </c>
      <c r="G309" s="92">
        <f>IF($E292-SUM($E309:F309)&lt;$E292/'Data Input'!$E72,$E292-SUM($E309:F309),$E292/'Data Input'!$E72)</f>
        <v>0</v>
      </c>
      <c r="H309" s="92">
        <f>IF($E292-SUM($E309:G309)&lt;$E292/'Data Input'!$E72,$E292-SUM($E309:G309),$E292/'Data Input'!$E72)</f>
        <v>0</v>
      </c>
      <c r="I309" s="219">
        <f>IF($E292-SUM($E309:H309)&lt;$E292/'Data Input'!$E72,$E292-SUM($E309:H309),$E292/'Data Input'!$E72)</f>
        <v>0</v>
      </c>
      <c r="J309" s="168"/>
      <c r="K309"/>
      <c r="L309"/>
      <c r="M309"/>
    </row>
    <row r="310" spans="2:13" ht="12.75">
      <c r="B310" s="13" t="s">
        <v>1</v>
      </c>
      <c r="C310" s="121" t="s">
        <v>21</v>
      </c>
      <c r="D310" s="121"/>
      <c r="E310" s="57"/>
      <c r="F310" s="92">
        <f>E293/'Data Input'!E73</f>
        <v>0.016703216047441304</v>
      </c>
      <c r="G310" s="92">
        <f>IF($E293-SUM($E310:F310)&lt;$E293/'Data Input'!$E73,$E293-SUM($E310:F310),$E293/'Data Input'!$E73)</f>
        <v>0.016703216047441304</v>
      </c>
      <c r="H310" s="92">
        <f>IF($E293-SUM($E310:G310)&lt;$E293/'Data Input'!$E73,$E293-SUM($E310:G310),$E293/'Data Input'!$E73)</f>
        <v>0.016703216047441304</v>
      </c>
      <c r="I310" s="219">
        <f>IF($E293-SUM($E310:H310)&lt;$E293/'Data Input'!$E73,$E293-SUM($E310:H310),$E293/'Data Input'!$E73)</f>
        <v>0.016703216047441304</v>
      </c>
      <c r="J310" s="168"/>
      <c r="K310"/>
      <c r="L310"/>
      <c r="M310"/>
    </row>
    <row r="311" spans="2:13" ht="12.75">
      <c r="B311" s="13" t="s">
        <v>10</v>
      </c>
      <c r="C311" s="121" t="s">
        <v>21</v>
      </c>
      <c r="D311" s="121"/>
      <c r="E311" s="57"/>
      <c r="F311" s="92">
        <f>E294/'Data Input'!E74</f>
        <v>0.050146036315624185</v>
      </c>
      <c r="G311" s="92">
        <f>IF($E294-SUM($E311:F311)&lt;$E294/'Data Input'!$E74,$E294-SUM($E311:F311),$E294/'Data Input'!$E74)</f>
        <v>0.050146036315624185</v>
      </c>
      <c r="H311" s="92">
        <f>IF($E294-SUM($E311:G311)&lt;$E294/'Data Input'!$E74,$E294-SUM($E311:G311),$E294/'Data Input'!$E74)</f>
        <v>0.050146036315624185</v>
      </c>
      <c r="I311" s="219">
        <f>IF($E294-SUM($E311:H311)&lt;$E294/'Data Input'!$E74,$E294-SUM($E311:H311),$E294/'Data Input'!$E74)</f>
        <v>0.050146036315624185</v>
      </c>
      <c r="J311" s="168"/>
      <c r="K311"/>
      <c r="L311"/>
      <c r="M311"/>
    </row>
    <row r="312" spans="2:13" ht="12.75">
      <c r="B312" s="13" t="s">
        <v>8</v>
      </c>
      <c r="C312" s="121" t="s">
        <v>21</v>
      </c>
      <c r="D312" s="121"/>
      <c r="E312" s="57"/>
      <c r="F312" s="92">
        <f>E295/'Data Input'!E75</f>
        <v>0.011340736051309782</v>
      </c>
      <c r="G312" s="92">
        <f>IF($E295-SUM($E312:F312)&lt;$E295/'Data Input'!$E75,$E295-SUM($E312:F312),$E295/'Data Input'!$E75)</f>
        <v>0.011340736051309782</v>
      </c>
      <c r="H312" s="92">
        <f>IF($E295-SUM($E312:G312)&lt;$E295/'Data Input'!$E75,$E295-SUM($E312:G312),$E295/'Data Input'!$E75)</f>
        <v>0.011340736051309782</v>
      </c>
      <c r="I312" s="219">
        <f>IF($E295-SUM($E312:H312)&lt;$E295/'Data Input'!$E75,$E295-SUM($E312:H312),$E295/'Data Input'!$E75)</f>
        <v>0.011340736051309782</v>
      </c>
      <c r="J312" s="168"/>
      <c r="K312"/>
      <c r="L312"/>
      <c r="M312"/>
    </row>
    <row r="313" spans="2:13" ht="12.75">
      <c r="B313" s="13" t="s">
        <v>44</v>
      </c>
      <c r="C313" s="121" t="s">
        <v>21</v>
      </c>
      <c r="D313" s="121"/>
      <c r="E313" s="57"/>
      <c r="F313" s="92">
        <f>E296/'Data Input'!E76</f>
        <v>0.2950871250965035</v>
      </c>
      <c r="G313" s="92">
        <f>IF($E296-SUM($E313:F313)&lt;$E296/'Data Input'!$E76,$E296-SUM($E313:F313),$E296/'Data Input'!$E76)</f>
        <v>0.2950871250965035</v>
      </c>
      <c r="H313" s="92">
        <f>IF($E296-SUM($E313:G313)&lt;$E296/'Data Input'!$E76,$E296-SUM($E313:G313),$E296/'Data Input'!$E76)</f>
        <v>0.2950871250965035</v>
      </c>
      <c r="I313" s="219">
        <f>IF($E296-SUM($E313:H313)&lt;$E296/'Data Input'!$E76,$E296-SUM($E313:H313),$E296/'Data Input'!$E76)</f>
        <v>0.2950871250965035</v>
      </c>
      <c r="J313" s="168"/>
      <c r="K313"/>
      <c r="L313"/>
      <c r="M313"/>
    </row>
    <row r="314" spans="2:13" ht="12.75">
      <c r="B314" s="13" t="s">
        <v>22</v>
      </c>
      <c r="C314" s="121" t="s">
        <v>21</v>
      </c>
      <c r="D314" s="121"/>
      <c r="E314" s="57"/>
      <c r="F314" s="92">
        <f>E297/'Data Input'!E77</f>
        <v>0</v>
      </c>
      <c r="G314" s="92">
        <f>IF($E297-SUM($E314:F314)&lt;$E297/'Data Input'!$E77,$E297-SUM($E314:F314),$E297/'Data Input'!$E77)</f>
        <v>0</v>
      </c>
      <c r="H314" s="92">
        <f>IF($E297-SUM($E314:G314)&lt;$E297/'Data Input'!$E77,$E297-SUM($E314:G314),$E297/'Data Input'!$E77)</f>
        <v>0</v>
      </c>
      <c r="I314" s="219">
        <f>IF($E297-SUM($E314:H314)&lt;$E297/'Data Input'!$E77,$E297-SUM($E314:H314),$E297/'Data Input'!$E77)</f>
        <v>0</v>
      </c>
      <c r="J314" s="168"/>
      <c r="K314"/>
      <c r="L314"/>
      <c r="M314"/>
    </row>
    <row r="315" spans="2:13" ht="12.75">
      <c r="B315" s="13" t="s">
        <v>2</v>
      </c>
      <c r="C315" s="121" t="s">
        <v>21</v>
      </c>
      <c r="D315" s="121"/>
      <c r="E315" s="57"/>
      <c r="F315" s="92">
        <f>E298/'Data Input'!E78</f>
        <v>0.2965181318250744</v>
      </c>
      <c r="G315" s="92">
        <f>IF($E298-SUM($E315:F315)&lt;$E298/'Data Input'!$E78,$E298-SUM($E315:F315),$E298/'Data Input'!$E78)</f>
        <v>0.2965181318250744</v>
      </c>
      <c r="H315" s="92">
        <f>IF($E298-SUM($E315:G315)&lt;$E298/'Data Input'!$E78,$E298-SUM($E315:G315),$E298/'Data Input'!$E78)</f>
        <v>0.2965181318250744</v>
      </c>
      <c r="I315" s="219">
        <f>IF($E298-SUM($E315:H315)&lt;$E298/'Data Input'!$E78,$E298-SUM($E315:H315),$E298/'Data Input'!$E78)</f>
        <v>0.2965181318250744</v>
      </c>
      <c r="J315" s="168"/>
      <c r="K315"/>
      <c r="L315"/>
      <c r="M315"/>
    </row>
    <row r="316" spans="2:13" ht="12.75">
      <c r="B316" s="13" t="s">
        <v>31</v>
      </c>
      <c r="C316" s="121" t="s">
        <v>21</v>
      </c>
      <c r="D316" s="121"/>
      <c r="E316" s="57"/>
      <c r="F316" s="92">
        <f>E299/'Data Input'!E79</f>
        <v>0</v>
      </c>
      <c r="G316" s="92">
        <f>IF($E299-SUM($E316:F316)&lt;$E299/'Data Input'!$E79,$E299-SUM($E316:F316),$E299/'Data Input'!$E79)</f>
        <v>0</v>
      </c>
      <c r="H316" s="92">
        <f>IF($E299-SUM($E316:G316)&lt;$E299/'Data Input'!$E79,$E299-SUM($E316:G316),$E299/'Data Input'!$E79)</f>
        <v>0</v>
      </c>
      <c r="I316" s="219">
        <f>IF($E299-SUM($E316:H316)&lt;$E299/'Data Input'!$E79,$E299-SUM($E316:H316),$E299/'Data Input'!$E79)</f>
        <v>0</v>
      </c>
      <c r="J316" s="168"/>
      <c r="K316"/>
      <c r="L316"/>
      <c r="M316"/>
    </row>
    <row r="317" spans="2:13" ht="12.75">
      <c r="B317" s="13" t="s">
        <v>3</v>
      </c>
      <c r="C317" s="121" t="s">
        <v>21</v>
      </c>
      <c r="D317" s="121"/>
      <c r="E317" s="57"/>
      <c r="F317" s="92"/>
      <c r="G317" s="92"/>
      <c r="H317" s="92"/>
      <c r="I317" s="219"/>
      <c r="J317" s="168"/>
      <c r="K317"/>
      <c r="L317"/>
      <c r="M317"/>
    </row>
    <row r="318" spans="2:13" ht="12.75">
      <c r="B318" s="93"/>
      <c r="C318" s="121"/>
      <c r="D318" s="121"/>
      <c r="E318" s="53"/>
      <c r="F318" s="56"/>
      <c r="G318" s="56"/>
      <c r="H318" s="56"/>
      <c r="I318" s="217"/>
      <c r="J318" s="168"/>
      <c r="K318"/>
      <c r="L318"/>
      <c r="M318"/>
    </row>
    <row r="319" spans="2:13" ht="12.75">
      <c r="B319" s="93"/>
      <c r="C319" s="121" t="s">
        <v>21</v>
      </c>
      <c r="D319" s="121"/>
      <c r="E319" s="57"/>
      <c r="F319" s="92">
        <f>SUM(F306:F318)</f>
        <v>0.8580239763042439</v>
      </c>
      <c r="G319" s="92">
        <f>SUM(G306:G318)</f>
        <v>0.8580239763042439</v>
      </c>
      <c r="H319" s="92">
        <f>SUM(H306:H318)</f>
        <v>0.8580239763042439</v>
      </c>
      <c r="I319" s="218">
        <f>SUM(I306:I318)</f>
        <v>0.8580239763042439</v>
      </c>
      <c r="J319" s="168"/>
      <c r="K319"/>
      <c r="L319"/>
      <c r="M319"/>
    </row>
    <row r="320" spans="2:13" ht="12.75">
      <c r="B320" s="93"/>
      <c r="C320" s="121"/>
      <c r="D320" s="121"/>
      <c r="E320" s="57"/>
      <c r="F320" s="92"/>
      <c r="G320" s="92"/>
      <c r="H320" s="92"/>
      <c r="I320" s="219"/>
      <c r="J320" s="168"/>
      <c r="K320"/>
      <c r="L320"/>
      <c r="M320"/>
    </row>
    <row r="321" spans="2:13" ht="12.75">
      <c r="B321" s="11" t="s">
        <v>79</v>
      </c>
      <c r="C321" s="121"/>
      <c r="D321" s="121"/>
      <c r="E321" s="57"/>
      <c r="F321" s="92"/>
      <c r="G321" s="92"/>
      <c r="H321" s="92"/>
      <c r="I321" s="219"/>
      <c r="J321" s="168"/>
      <c r="K321"/>
      <c r="L321"/>
      <c r="M321"/>
    </row>
    <row r="322" spans="2:13" ht="12.75">
      <c r="B322" s="93"/>
      <c r="C322" s="121"/>
      <c r="D322" s="121"/>
      <c r="E322" s="57"/>
      <c r="F322" s="92"/>
      <c r="G322" s="92"/>
      <c r="H322" s="92"/>
      <c r="I322" s="219"/>
      <c r="J322" s="168"/>
      <c r="K322"/>
      <c r="L322"/>
      <c r="M322"/>
    </row>
    <row r="323" spans="2:13" ht="12.75">
      <c r="B323" s="13" t="s">
        <v>19</v>
      </c>
      <c r="C323" s="121" t="s">
        <v>21</v>
      </c>
      <c r="D323" s="121"/>
      <c r="E323" s="57"/>
      <c r="F323" s="92"/>
      <c r="G323" s="92">
        <f>F289/'Data Input'!E69</f>
        <v>0.03472995101550567</v>
      </c>
      <c r="H323" s="92">
        <f>IF($F289-SUM($E323:G323)&lt;$F289/'Data Input'!$E69,$F289-SUM($E323:G323),$F289/'Data Input'!$E69)</f>
        <v>0.03472995101550567</v>
      </c>
      <c r="I323" s="219">
        <f>IF($F289-SUM($E323:H323)&lt;$F289/'Data Input'!$E69,$F289-SUM($E323:H323),$F289/'Data Input'!$E69)</f>
        <v>0.03472995101550567</v>
      </c>
      <c r="J323" s="168"/>
      <c r="K323"/>
      <c r="L323"/>
      <c r="M323"/>
    </row>
    <row r="324" spans="2:13" ht="12.75">
      <c r="B324" s="13" t="s">
        <v>20</v>
      </c>
      <c r="C324" s="121" t="s">
        <v>21</v>
      </c>
      <c r="D324" s="121"/>
      <c r="E324" s="57"/>
      <c r="F324" s="92"/>
      <c r="G324" s="92">
        <f>F290/'Data Input'!E70</f>
        <v>0</v>
      </c>
      <c r="H324" s="92">
        <f>IF($F290-SUM($E324:G324)&lt;$F290/'Data Input'!$E70,$F290-SUM($E324:G324),$F290/'Data Input'!$E70)</f>
        <v>0</v>
      </c>
      <c r="I324" s="219">
        <f>IF($F290-SUM($E324:H324)&lt;$F290/'Data Input'!$E70,$F290-SUM($E324:H324),$F290/'Data Input'!$E70)</f>
        <v>0</v>
      </c>
      <c r="J324" s="168"/>
      <c r="K324"/>
      <c r="L324"/>
      <c r="M324"/>
    </row>
    <row r="325" spans="2:13" ht="12.75">
      <c r="B325" s="13" t="s">
        <v>43</v>
      </c>
      <c r="C325" s="121" t="s">
        <v>21</v>
      </c>
      <c r="D325" s="121"/>
      <c r="E325" s="57"/>
      <c r="F325" s="92"/>
      <c r="G325" s="92">
        <f>F291/'Data Input'!E71</f>
        <v>0.20889630302581436</v>
      </c>
      <c r="H325" s="92">
        <f>IF($F291-SUM($E325:G325)&lt;$F291/'Data Input'!$E71,$F291-SUM($E325:G325),$F291/'Data Input'!$E71)</f>
        <v>0.20889630302581436</v>
      </c>
      <c r="I325" s="219">
        <f>IF($F291-SUM($E325:H325)&lt;$F291/'Data Input'!$E71,$F291-SUM($E325:H325),$F291/'Data Input'!$E71)</f>
        <v>0.20889630302581436</v>
      </c>
      <c r="J325" s="168"/>
      <c r="K325"/>
      <c r="L325"/>
      <c r="M325"/>
    </row>
    <row r="326" spans="2:13" ht="12.75">
      <c r="B326" s="13" t="s">
        <v>29</v>
      </c>
      <c r="C326" s="121" t="s">
        <v>21</v>
      </c>
      <c r="D326" s="121"/>
      <c r="E326" s="57"/>
      <c r="F326" s="92"/>
      <c r="G326" s="92">
        <f>F292/'Data Input'!E72</f>
        <v>0</v>
      </c>
      <c r="H326" s="92">
        <f>IF($F292-SUM($E326:G326)&lt;$F292/'Data Input'!$E72,$F292-SUM($E326:G326),$F292/'Data Input'!$E72)</f>
        <v>0</v>
      </c>
      <c r="I326" s="219">
        <f>IF($F292-SUM($E326:H326)&lt;$F292/'Data Input'!$E72,$F292-SUM($E326:H326),$F292/'Data Input'!$E72)</f>
        <v>0</v>
      </c>
      <c r="J326" s="168"/>
      <c r="K326"/>
      <c r="L326"/>
      <c r="M326"/>
    </row>
    <row r="327" spans="2:13" ht="12.75">
      <c r="B327" s="13" t="s">
        <v>1</v>
      </c>
      <c r="C327" s="121" t="s">
        <v>21</v>
      </c>
      <c r="D327" s="121"/>
      <c r="E327" s="57"/>
      <c r="F327" s="92"/>
      <c r="G327" s="92">
        <f>F293/'Data Input'!E73</f>
        <v>0.006525373300536395</v>
      </c>
      <c r="H327" s="92">
        <f>IF($F293-SUM($E327:G327)&lt;$F293/'Data Input'!$E73,$F293-SUM($E327:G327),$F293/'Data Input'!$E73)</f>
        <v>0.006525373300536395</v>
      </c>
      <c r="I327" s="219">
        <f>IF($F293-SUM($E327:H327)&lt;$F293/'Data Input'!$E73,$F293-SUM($E327:H327),$F293/'Data Input'!$E73)</f>
        <v>0.006525373300536395</v>
      </c>
      <c r="J327" s="168"/>
      <c r="K327"/>
      <c r="L327"/>
      <c r="M327"/>
    </row>
    <row r="328" spans="2:13" ht="12.75">
      <c r="B328" s="13" t="s">
        <v>10</v>
      </c>
      <c r="C328" s="121" t="s">
        <v>21</v>
      </c>
      <c r="D328" s="121"/>
      <c r="E328" s="57"/>
      <c r="F328" s="92"/>
      <c r="G328" s="92">
        <f>F294/'Data Input'!E74</f>
        <v>0.010599042126731718</v>
      </c>
      <c r="H328" s="92">
        <f>IF($F294-SUM($E328:G328)&lt;$F294/'Data Input'!$E74,$F294-SUM($E328:G328),$F294/'Data Input'!$E74)</f>
        <v>0.010599042126731718</v>
      </c>
      <c r="I328" s="219">
        <f>IF($F294-SUM($E328:H328)&lt;$F294/'Data Input'!$E74,$F294-SUM($E328:H328),$F294/'Data Input'!$E74)</f>
        <v>0.010599042126731718</v>
      </c>
      <c r="J328" s="168"/>
      <c r="K328"/>
      <c r="L328"/>
      <c r="M328"/>
    </row>
    <row r="329" spans="2:13" ht="12.75">
      <c r="B329" s="13" t="s">
        <v>8</v>
      </c>
      <c r="C329" s="121" t="s">
        <v>21</v>
      </c>
      <c r="D329" s="121"/>
      <c r="E329" s="57"/>
      <c r="F329" s="92"/>
      <c r="G329" s="92">
        <f>F295/'Data Input'!E75</f>
        <v>0.05142268378159248</v>
      </c>
      <c r="H329" s="92">
        <f>IF($F295-SUM($E329:G329)&lt;$F295/'Data Input'!$E75,$F295-SUM($E329:G329),$F295/'Data Input'!$E75)</f>
        <v>0.05142268378159248</v>
      </c>
      <c r="I329" s="219">
        <f>IF($F295-SUM($E329:H329)&lt;$F295/'Data Input'!$E75,$F295-SUM($E329:H329),$F295/'Data Input'!$E75)</f>
        <v>0.05142268378159248</v>
      </c>
      <c r="J329" s="168"/>
      <c r="K329"/>
      <c r="L329"/>
      <c r="M329"/>
    </row>
    <row r="330" spans="2:13" ht="12.75">
      <c r="B330" s="13" t="s">
        <v>44</v>
      </c>
      <c r="C330" s="121" t="s">
        <v>21</v>
      </c>
      <c r="D330" s="121"/>
      <c r="E330" s="57"/>
      <c r="F330" s="92"/>
      <c r="G330" s="92">
        <f>F296/'Data Input'!E76</f>
        <v>0.6524350052818123</v>
      </c>
      <c r="H330" s="92">
        <f>IF($F296-SUM($E330:G330)&lt;$F296/'Data Input'!$E76,$F296-SUM($E330:G330),$F296/'Data Input'!$E76)</f>
        <v>0.6524350052818123</v>
      </c>
      <c r="I330" s="219">
        <f>IF($F296-SUM($E330:H330)&lt;$F296/'Data Input'!$E76,$F296-SUM($E330:H330),$F296/'Data Input'!$E76)</f>
        <v>0.6524350052818123</v>
      </c>
      <c r="J330" s="168"/>
      <c r="K330"/>
      <c r="L330"/>
      <c r="M330"/>
    </row>
    <row r="331" spans="2:13" ht="12.75">
      <c r="B331" s="13" t="s">
        <v>22</v>
      </c>
      <c r="C331" s="121" t="s">
        <v>21</v>
      </c>
      <c r="D331" s="121"/>
      <c r="E331" s="57"/>
      <c r="F331" s="92"/>
      <c r="G331" s="92">
        <f>F297/'Data Input'!E77</f>
        <v>0.06489981921613418</v>
      </c>
      <c r="H331" s="92">
        <f>IF($F297-SUM($E331:G331)&lt;$F297/'Data Input'!$E77,$F297-SUM($E331:G331),$F297/'Data Input'!$E77)</f>
        <v>0.06489981921613418</v>
      </c>
      <c r="I331" s="219">
        <f>IF($F297-SUM($E331:H331)&lt;$F297/'Data Input'!$E77,$F297-SUM($E331:H331),$F297/'Data Input'!$E77)</f>
        <v>0.06489981921613418</v>
      </c>
      <c r="J331" s="168"/>
      <c r="K331"/>
      <c r="L331"/>
      <c r="M331"/>
    </row>
    <row r="332" spans="2:13" ht="12.75">
      <c r="B332" s="13" t="s">
        <v>2</v>
      </c>
      <c r="C332" s="121" t="s">
        <v>21</v>
      </c>
      <c r="D332" s="121"/>
      <c r="E332" s="57"/>
      <c r="F332" s="92"/>
      <c r="G332" s="92">
        <f>F298/'Data Input'!E78</f>
        <v>0.9198405640014116</v>
      </c>
      <c r="H332" s="92">
        <f>IF($F298-SUM($E332:G332)&lt;$F298/'Data Input'!$E78,$F298-SUM($E332:G332),$F298/'Data Input'!$E78)</f>
        <v>0.9198405640014116</v>
      </c>
      <c r="I332" s="219">
        <f>IF($F298-SUM($E332:H332)&lt;$F298/'Data Input'!$E78,$F298-SUM($E332:H332),$F298/'Data Input'!$E78)</f>
        <v>0.9198405640014116</v>
      </c>
      <c r="J332" s="168"/>
      <c r="K332"/>
      <c r="L332"/>
      <c r="M332"/>
    </row>
    <row r="333" spans="2:13" ht="12.75">
      <c r="B333" s="13" t="s">
        <v>31</v>
      </c>
      <c r="C333" s="121" t="s">
        <v>21</v>
      </c>
      <c r="D333" s="121"/>
      <c r="E333" s="57"/>
      <c r="F333" s="92"/>
      <c r="G333" s="92">
        <f>F299/'Data Input'!E79</f>
        <v>0</v>
      </c>
      <c r="H333" s="92">
        <f>IF($F299-SUM($E333:G333)&lt;$F299/'Data Input'!$E79,$F299-SUM($E333:G333),$F299/'Data Input'!$E79)</f>
        <v>0</v>
      </c>
      <c r="I333" s="219">
        <f>IF($F299-SUM($E333:H333)&lt;$F299/'Data Input'!$E79,$F299-SUM($E333:H333),$F299/'Data Input'!$E79)</f>
        <v>0</v>
      </c>
      <c r="J333" s="168"/>
      <c r="K333"/>
      <c r="L333"/>
      <c r="M333"/>
    </row>
    <row r="334" spans="2:13" ht="12.75">
      <c r="B334" s="13" t="s">
        <v>3</v>
      </c>
      <c r="C334" s="121" t="s">
        <v>21</v>
      </c>
      <c r="D334" s="121"/>
      <c r="E334" s="57"/>
      <c r="F334" s="92"/>
      <c r="G334" s="92"/>
      <c r="H334" s="92"/>
      <c r="I334" s="219"/>
      <c r="J334" s="168"/>
      <c r="K334"/>
      <c r="L334"/>
      <c r="M334"/>
    </row>
    <row r="335" spans="2:13" ht="12.75">
      <c r="B335" s="93"/>
      <c r="C335" s="121"/>
      <c r="D335" s="121"/>
      <c r="E335" s="53"/>
      <c r="F335" s="56"/>
      <c r="G335" s="56"/>
      <c r="H335" s="56"/>
      <c r="I335" s="217"/>
      <c r="J335" s="168"/>
      <c r="K335"/>
      <c r="L335"/>
      <c r="M335"/>
    </row>
    <row r="336" spans="2:13" ht="12.75">
      <c r="B336" s="93"/>
      <c r="C336" s="121" t="s">
        <v>21</v>
      </c>
      <c r="D336" s="121"/>
      <c r="E336" s="57"/>
      <c r="F336" s="92"/>
      <c r="G336" s="92">
        <f>SUM(G323:G335)</f>
        <v>1.9493487417495385</v>
      </c>
      <c r="H336" s="92">
        <f>SUM(H323:H335)</f>
        <v>1.9493487417495385</v>
      </c>
      <c r="I336" s="219">
        <f>SUM(I323:I335)</f>
        <v>1.9493487417495385</v>
      </c>
      <c r="J336" s="168"/>
      <c r="K336"/>
      <c r="L336"/>
      <c r="M336"/>
    </row>
    <row r="337" spans="2:13" ht="12.75">
      <c r="B337" s="93"/>
      <c r="C337" s="121"/>
      <c r="D337" s="121"/>
      <c r="E337" s="57"/>
      <c r="F337" s="92"/>
      <c r="G337" s="92"/>
      <c r="H337" s="92"/>
      <c r="I337" s="219"/>
      <c r="J337" s="168"/>
      <c r="K337"/>
      <c r="L337"/>
      <c r="M337"/>
    </row>
    <row r="338" spans="2:13" ht="12.75">
      <c r="B338" s="11" t="s">
        <v>76</v>
      </c>
      <c r="C338" s="121"/>
      <c r="D338" s="121"/>
      <c r="E338" s="57"/>
      <c r="F338" s="92"/>
      <c r="G338" s="92"/>
      <c r="H338" s="92"/>
      <c r="I338" s="219"/>
      <c r="J338" s="168"/>
      <c r="K338"/>
      <c r="L338"/>
      <c r="M338"/>
    </row>
    <row r="339" spans="2:13" ht="12.75">
      <c r="B339" s="93"/>
      <c r="C339" s="121"/>
      <c r="D339" s="121"/>
      <c r="E339" s="57"/>
      <c r="F339" s="92"/>
      <c r="G339" s="92"/>
      <c r="H339" s="92"/>
      <c r="I339" s="219"/>
      <c r="J339" s="168"/>
      <c r="K339"/>
      <c r="L339"/>
      <c r="M339"/>
    </row>
    <row r="340" spans="2:13" ht="12.75">
      <c r="B340" s="13" t="s">
        <v>19</v>
      </c>
      <c r="C340" s="121" t="s">
        <v>21</v>
      </c>
      <c r="D340" s="121"/>
      <c r="E340" s="57"/>
      <c r="F340" s="92"/>
      <c r="G340" s="92"/>
      <c r="H340" s="92">
        <f>G289/'Data Input'!E69</f>
        <v>0.05840337161580589</v>
      </c>
      <c r="I340" s="219">
        <f>IF($G289-SUM($E340:H340)&lt;$G289/'Data Input'!$E69,$G289-SUM($E340:H340),$G289/'Data Input'!$E69)</f>
        <v>0.05840337161580589</v>
      </c>
      <c r="J340" s="168"/>
      <c r="K340"/>
      <c r="L340"/>
      <c r="M340"/>
    </row>
    <row r="341" spans="2:13" ht="12.75">
      <c r="B341" s="13" t="s">
        <v>20</v>
      </c>
      <c r="C341" s="121" t="s">
        <v>21</v>
      </c>
      <c r="D341" s="121"/>
      <c r="E341" s="57"/>
      <c r="F341" s="92"/>
      <c r="G341" s="92"/>
      <c r="H341" s="92">
        <f>G290/'Data Input'!E70</f>
        <v>0</v>
      </c>
      <c r="I341" s="219">
        <f>IF($G290-SUM($E341:H341)&lt;$G290/'Data Input'!$E70,$G290-SUM($E341:H341),$G290/'Data Input'!$E70)</f>
        <v>0</v>
      </c>
      <c r="J341" s="168"/>
      <c r="K341"/>
      <c r="L341"/>
      <c r="M341"/>
    </row>
    <row r="342" spans="2:13" ht="12.75">
      <c r="B342" s="13" t="s">
        <v>43</v>
      </c>
      <c r="C342" s="121" t="s">
        <v>21</v>
      </c>
      <c r="D342" s="121"/>
      <c r="E342" s="57"/>
      <c r="F342" s="92"/>
      <c r="G342" s="92"/>
      <c r="H342" s="92">
        <f>G291/'Data Input'!E71</f>
        <v>0.22054069136713778</v>
      </c>
      <c r="I342" s="219">
        <f>IF($G291-SUM($E342:H342)&lt;$G291/'Data Input'!$E71,$G291-SUM($E342:H342),$G291/'Data Input'!$E71)</f>
        <v>0.22054069136713778</v>
      </c>
      <c r="J342" s="168"/>
      <c r="K342"/>
      <c r="L342"/>
      <c r="M342"/>
    </row>
    <row r="343" spans="2:13" ht="12.75">
      <c r="B343" s="13" t="s">
        <v>29</v>
      </c>
      <c r="C343" s="121" t="s">
        <v>21</v>
      </c>
      <c r="D343" s="121"/>
      <c r="E343" s="57"/>
      <c r="F343" s="92"/>
      <c r="G343" s="92"/>
      <c r="H343" s="92">
        <f>G292/'Data Input'!E72</f>
        <v>0</v>
      </c>
      <c r="I343" s="219">
        <f>IF($G292-SUM($E343:H343)&lt;$G292/'Data Input'!$E72,$G292-SUM($E343:H343),$G292/'Data Input'!$E72)</f>
        <v>0</v>
      </c>
      <c r="J343" s="168"/>
      <c r="K343"/>
      <c r="L343"/>
      <c r="M343"/>
    </row>
    <row r="344" spans="2:13" ht="12.75">
      <c r="B344" s="13" t="s">
        <v>1</v>
      </c>
      <c r="C344" s="121" t="s">
        <v>21</v>
      </c>
      <c r="D344" s="121"/>
      <c r="E344" s="57"/>
      <c r="F344" s="92"/>
      <c r="G344" s="92"/>
      <c r="H344" s="92">
        <f>G293/'Data Input'!E73</f>
        <v>0.005730221514887652</v>
      </c>
      <c r="I344" s="219">
        <f>IF($G293-SUM($E344:H344)&lt;$G293/'Data Input'!$E73,$G293-SUM($E344:H344),$G293/'Data Input'!$E73)</f>
        <v>0.005730221514887652</v>
      </c>
      <c r="J344" s="168"/>
      <c r="K344"/>
      <c r="L344"/>
      <c r="M344"/>
    </row>
    <row r="345" spans="2:13" ht="12.75">
      <c r="B345" s="13" t="s">
        <v>10</v>
      </c>
      <c r="C345" s="121" t="s">
        <v>21</v>
      </c>
      <c r="D345" s="121"/>
      <c r="E345" s="57"/>
      <c r="F345" s="92"/>
      <c r="G345" s="92"/>
      <c r="H345" s="92">
        <f>G294/'Data Input'!E74</f>
        <v>0</v>
      </c>
      <c r="I345" s="219">
        <f>IF($G294-SUM($E345:H345)&lt;$G294/'Data Input'!$E74,$G294-SUM($E345:H345),$G294/'Data Input'!$E74)</f>
        <v>0</v>
      </c>
      <c r="J345" s="168"/>
      <c r="K345"/>
      <c r="L345"/>
      <c r="M345"/>
    </row>
    <row r="346" spans="2:13" ht="12.75">
      <c r="B346" s="13" t="s">
        <v>8</v>
      </c>
      <c r="C346" s="121" t="s">
        <v>21</v>
      </c>
      <c r="D346" s="121"/>
      <c r="E346" s="57"/>
      <c r="F346" s="92"/>
      <c r="G346" s="92"/>
      <c r="H346" s="92">
        <f>G295/'Data Input'!E75</f>
        <v>0.16726316614284517</v>
      </c>
      <c r="I346" s="219">
        <f>IF($G295-SUM($E346:H346)&lt;$G295/'Data Input'!$E75,$G295-SUM($E346:H346),$G295/'Data Input'!$E75)</f>
        <v>0.16726316614284517</v>
      </c>
      <c r="J346" s="168"/>
      <c r="K346"/>
      <c r="L346"/>
      <c r="M346"/>
    </row>
    <row r="347" spans="2:13" ht="12.75">
      <c r="B347" s="13" t="s">
        <v>44</v>
      </c>
      <c r="C347" s="121" t="s">
        <v>21</v>
      </c>
      <c r="D347" s="121"/>
      <c r="E347" s="57"/>
      <c r="F347" s="92"/>
      <c r="G347" s="92"/>
      <c r="H347" s="92">
        <f>G296/'Data Input'!E76</f>
        <v>0.7578781339730785</v>
      </c>
      <c r="I347" s="219">
        <f>IF($G296-SUM($E347:H347)&lt;$G296/'Data Input'!$E76,$G296-SUM($E347:H347),$G296/'Data Input'!$E76)</f>
        <v>0.7578781339730785</v>
      </c>
      <c r="J347" s="168"/>
      <c r="K347"/>
      <c r="L347"/>
      <c r="M347"/>
    </row>
    <row r="348" spans="2:13" ht="12.75">
      <c r="B348" s="13" t="s">
        <v>22</v>
      </c>
      <c r="C348" s="121" t="s">
        <v>21</v>
      </c>
      <c r="D348" s="121"/>
      <c r="E348" s="57"/>
      <c r="F348" s="92"/>
      <c r="G348" s="92"/>
      <c r="H348" s="92">
        <f>G297/'Data Input'!E77</f>
        <v>0</v>
      </c>
      <c r="I348" s="219">
        <f>IF($G297-SUM($E348:H348)&lt;$G297/'Data Input'!$E77,$G297-SUM($E348:H348),$G297/'Data Input'!$E77)</f>
        <v>0</v>
      </c>
      <c r="J348" s="168"/>
      <c r="K348"/>
      <c r="L348"/>
      <c r="M348"/>
    </row>
    <row r="349" spans="2:13" ht="12.75">
      <c r="B349" s="13" t="s">
        <v>2</v>
      </c>
      <c r="C349" s="121" t="s">
        <v>21</v>
      </c>
      <c r="D349" s="121"/>
      <c r="E349" s="57"/>
      <c r="F349" s="92"/>
      <c r="G349" s="92"/>
      <c r="H349" s="92">
        <f>G298/'Data Input'!E78</f>
        <v>0.6948958413846364</v>
      </c>
      <c r="I349" s="219">
        <f>IF($G298-SUM($E349:H349)&lt;$G298/'Data Input'!$E78,$G298-SUM($E349:H349),$G298/'Data Input'!$E78)</f>
        <v>0.6948958413846364</v>
      </c>
      <c r="J349" s="168"/>
      <c r="K349"/>
      <c r="L349"/>
      <c r="M349"/>
    </row>
    <row r="350" spans="2:13" ht="12.75">
      <c r="B350" s="13" t="s">
        <v>31</v>
      </c>
      <c r="C350" s="121" t="s">
        <v>21</v>
      </c>
      <c r="D350" s="121"/>
      <c r="E350" s="57"/>
      <c r="F350" s="92"/>
      <c r="G350" s="92"/>
      <c r="H350" s="92">
        <f>G299/'Data Input'!E79</f>
        <v>0</v>
      </c>
      <c r="I350" s="219">
        <f>IF($G299-SUM($E350:H350)&lt;$G299/'Data Input'!$E79,$G299-SUM($E350:H350),$G299/'Data Input'!$E79)</f>
        <v>0</v>
      </c>
      <c r="J350" s="168"/>
      <c r="K350"/>
      <c r="L350"/>
      <c r="M350"/>
    </row>
    <row r="351" spans="2:13" ht="12.75">
      <c r="B351" s="13" t="s">
        <v>3</v>
      </c>
      <c r="C351" s="121" t="s">
        <v>21</v>
      </c>
      <c r="D351" s="121"/>
      <c r="E351" s="57"/>
      <c r="F351" s="92"/>
      <c r="G351" s="92"/>
      <c r="H351" s="92"/>
      <c r="I351" s="219"/>
      <c r="J351" s="168"/>
      <c r="K351"/>
      <c r="L351"/>
      <c r="M351"/>
    </row>
    <row r="352" spans="2:13" ht="12.75">
      <c r="B352" s="93"/>
      <c r="C352" s="121"/>
      <c r="D352" s="121"/>
      <c r="E352" s="53"/>
      <c r="F352" s="56"/>
      <c r="G352" s="56"/>
      <c r="H352" s="56"/>
      <c r="I352" s="217"/>
      <c r="J352" s="168"/>
      <c r="K352"/>
      <c r="L352"/>
      <c r="M352"/>
    </row>
    <row r="353" spans="2:13" ht="12.75">
      <c r="B353" s="93"/>
      <c r="C353" s="121" t="s">
        <v>21</v>
      </c>
      <c r="D353" s="121"/>
      <c r="E353" s="57"/>
      <c r="F353" s="92"/>
      <c r="G353" s="92"/>
      <c r="H353" s="92">
        <f>SUM(H340:H352)</f>
        <v>1.9047114259983915</v>
      </c>
      <c r="I353" s="219">
        <f>SUM(I340:I352)</f>
        <v>1.9047114259983915</v>
      </c>
      <c r="J353" s="168"/>
      <c r="K353"/>
      <c r="L353"/>
      <c r="M353"/>
    </row>
    <row r="354" spans="2:13" ht="12.75">
      <c r="B354" s="93"/>
      <c r="C354" s="121"/>
      <c r="D354" s="121"/>
      <c r="E354" s="57"/>
      <c r="F354" s="92"/>
      <c r="G354" s="92"/>
      <c r="H354" s="92"/>
      <c r="I354" s="219"/>
      <c r="J354" s="168"/>
      <c r="K354"/>
      <c r="L354"/>
      <c r="M354"/>
    </row>
    <row r="355" spans="2:13" ht="12.75">
      <c r="B355" s="11" t="s">
        <v>77</v>
      </c>
      <c r="C355" s="121"/>
      <c r="D355" s="121"/>
      <c r="E355" s="57"/>
      <c r="F355" s="92"/>
      <c r="G355" s="92"/>
      <c r="H355" s="92"/>
      <c r="I355" s="219"/>
      <c r="J355" s="168"/>
      <c r="K355"/>
      <c r="L355"/>
      <c r="M355"/>
    </row>
    <row r="356" spans="2:13" ht="12.75">
      <c r="B356" s="93"/>
      <c r="C356" s="121"/>
      <c r="D356" s="121"/>
      <c r="E356" s="57"/>
      <c r="F356" s="92"/>
      <c r="G356" s="92"/>
      <c r="H356" s="92"/>
      <c r="I356" s="219"/>
      <c r="J356" s="168"/>
      <c r="K356"/>
      <c r="L356"/>
      <c r="M356"/>
    </row>
    <row r="357" spans="2:13" ht="12.75">
      <c r="B357" s="13" t="s">
        <v>19</v>
      </c>
      <c r="C357" s="121" t="s">
        <v>21</v>
      </c>
      <c r="D357" s="121"/>
      <c r="E357" s="57"/>
      <c r="F357" s="92"/>
      <c r="G357" s="92"/>
      <c r="H357" s="92"/>
      <c r="I357" s="219">
        <f>H289/'Data Input'!E69</f>
        <v>0.08885607518635398</v>
      </c>
      <c r="J357" s="168"/>
      <c r="K357"/>
      <c r="L357"/>
      <c r="M357"/>
    </row>
    <row r="358" spans="2:13" ht="12.75">
      <c r="B358" s="13" t="s">
        <v>20</v>
      </c>
      <c r="C358" s="121" t="s">
        <v>21</v>
      </c>
      <c r="D358" s="121"/>
      <c r="E358" s="57"/>
      <c r="F358" s="92"/>
      <c r="G358" s="92"/>
      <c r="H358" s="92"/>
      <c r="I358" s="219">
        <f>H290/'Data Input'!E70</f>
        <v>0</v>
      </c>
      <c r="J358" s="168"/>
      <c r="K358"/>
      <c r="L358"/>
      <c r="M358"/>
    </row>
    <row r="359" spans="2:13" ht="12.75">
      <c r="B359" s="13" t="s">
        <v>43</v>
      </c>
      <c r="C359" s="121" t="s">
        <v>21</v>
      </c>
      <c r="D359" s="121"/>
      <c r="E359" s="57"/>
      <c r="F359" s="92"/>
      <c r="G359" s="92"/>
      <c r="H359" s="92"/>
      <c r="I359" s="219">
        <f>H291/'Data Input'!E71</f>
        <v>0.2279158853879375</v>
      </c>
      <c r="J359" s="168"/>
      <c r="K359"/>
      <c r="L359"/>
      <c r="M359"/>
    </row>
    <row r="360" spans="2:13" ht="12.75">
      <c r="B360" s="13" t="s">
        <v>29</v>
      </c>
      <c r="C360" s="121" t="s">
        <v>21</v>
      </c>
      <c r="D360" s="121"/>
      <c r="E360" s="57"/>
      <c r="F360" s="92"/>
      <c r="G360" s="92"/>
      <c r="H360" s="92"/>
      <c r="I360" s="219">
        <f>H292/'Data Input'!E72</f>
        <v>0</v>
      </c>
      <c r="J360" s="168"/>
      <c r="K360"/>
      <c r="L360"/>
      <c r="M360"/>
    </row>
    <row r="361" spans="2:13" ht="12.75">
      <c r="B361" s="13" t="s">
        <v>1</v>
      </c>
      <c r="C361" s="121" t="s">
        <v>21</v>
      </c>
      <c r="D361" s="121"/>
      <c r="E361" s="57"/>
      <c r="F361" s="92"/>
      <c r="G361" s="92"/>
      <c r="H361" s="92"/>
      <c r="I361" s="219">
        <f>H293/'Data Input'!E73</f>
        <v>0.006671957106607555</v>
      </c>
      <c r="J361" s="168"/>
      <c r="K361"/>
      <c r="L361"/>
      <c r="M361"/>
    </row>
    <row r="362" spans="2:13" ht="12.75">
      <c r="B362" s="13" t="s">
        <v>10</v>
      </c>
      <c r="C362" s="121" t="s">
        <v>21</v>
      </c>
      <c r="D362" s="121"/>
      <c r="E362" s="57"/>
      <c r="F362" s="92"/>
      <c r="G362" s="92"/>
      <c r="H362" s="92"/>
      <c r="I362" s="219">
        <f>H294/'Data Input'!E74</f>
        <v>0</v>
      </c>
      <c r="J362" s="168"/>
      <c r="K362"/>
      <c r="L362"/>
      <c r="M362"/>
    </row>
    <row r="363" spans="2:13" ht="12.75">
      <c r="B363" s="13" t="s">
        <v>8</v>
      </c>
      <c r="C363" s="121" t="s">
        <v>21</v>
      </c>
      <c r="D363" s="121"/>
      <c r="E363" s="57"/>
      <c r="F363" s="92"/>
      <c r="G363" s="92"/>
      <c r="H363" s="92"/>
      <c r="I363" s="219">
        <f>H295/'Data Input'!E75</f>
        <v>0</v>
      </c>
      <c r="J363" s="168"/>
      <c r="K363"/>
      <c r="L363"/>
      <c r="M363"/>
    </row>
    <row r="364" spans="2:13" ht="12.75">
      <c r="B364" s="13" t="s">
        <v>44</v>
      </c>
      <c r="C364" s="121" t="s">
        <v>21</v>
      </c>
      <c r="D364" s="121"/>
      <c r="E364" s="57"/>
      <c r="F364" s="92"/>
      <c r="G364" s="92"/>
      <c r="H364" s="92"/>
      <c r="I364" s="219">
        <f>H296/'Data Input'!E76</f>
        <v>0.8168907005313157</v>
      </c>
      <c r="J364" s="168"/>
      <c r="K364"/>
      <c r="L364"/>
      <c r="M364"/>
    </row>
    <row r="365" spans="2:13" ht="12.75">
      <c r="B365" s="13" t="s">
        <v>22</v>
      </c>
      <c r="C365" s="121" t="s">
        <v>21</v>
      </c>
      <c r="D365" s="121"/>
      <c r="E365" s="57"/>
      <c r="F365" s="92"/>
      <c r="G365" s="92"/>
      <c r="H365" s="92"/>
      <c r="I365" s="219">
        <f>H297/'Data Input'!E77</f>
        <v>0</v>
      </c>
      <c r="J365" s="168"/>
      <c r="K365"/>
      <c r="L365"/>
      <c r="M365"/>
    </row>
    <row r="366" spans="2:13" ht="12.75">
      <c r="B366" s="13" t="s">
        <v>2</v>
      </c>
      <c r="C366" s="121" t="s">
        <v>21</v>
      </c>
      <c r="D366" s="121"/>
      <c r="E366" s="57"/>
      <c r="F366" s="92"/>
      <c r="G366" s="92"/>
      <c r="H366" s="92"/>
      <c r="I366" s="219">
        <f>H298/'Data Input'!E78</f>
        <v>1.004159946566807</v>
      </c>
      <c r="J366" s="168"/>
      <c r="K366"/>
      <c r="L366"/>
      <c r="M366"/>
    </row>
    <row r="367" spans="2:13" ht="12.75">
      <c r="B367" s="13" t="s">
        <v>31</v>
      </c>
      <c r="C367" s="121" t="s">
        <v>21</v>
      </c>
      <c r="D367" s="121"/>
      <c r="E367" s="57"/>
      <c r="F367" s="92"/>
      <c r="G367" s="92"/>
      <c r="H367" s="92"/>
      <c r="I367" s="219">
        <f>H299/'Data Input'!E79</f>
        <v>0</v>
      </c>
      <c r="J367" s="168"/>
      <c r="K367"/>
      <c r="L367"/>
      <c r="M367"/>
    </row>
    <row r="368" spans="2:13" ht="12.75">
      <c r="B368" s="13" t="s">
        <v>3</v>
      </c>
      <c r="C368" s="121" t="s">
        <v>21</v>
      </c>
      <c r="D368" s="121"/>
      <c r="E368" s="57"/>
      <c r="F368" s="92"/>
      <c r="G368" s="92"/>
      <c r="H368" s="92"/>
      <c r="I368" s="219"/>
      <c r="J368" s="168"/>
      <c r="K368"/>
      <c r="L368"/>
      <c r="M368"/>
    </row>
    <row r="369" spans="2:13" ht="12.75">
      <c r="B369" s="93"/>
      <c r="C369" s="121"/>
      <c r="D369" s="121"/>
      <c r="E369" s="53"/>
      <c r="F369" s="56"/>
      <c r="G369" s="56"/>
      <c r="H369" s="56"/>
      <c r="I369" s="217"/>
      <c r="J369" s="168"/>
      <c r="K369"/>
      <c r="L369"/>
      <c r="M369"/>
    </row>
    <row r="370" spans="2:13" ht="12.75">
      <c r="B370" s="93"/>
      <c r="C370" s="121" t="s">
        <v>21</v>
      </c>
      <c r="D370" s="121"/>
      <c r="E370" s="57"/>
      <c r="F370" s="92"/>
      <c r="G370" s="92"/>
      <c r="H370" s="92"/>
      <c r="I370" s="219">
        <f>SUM(I357:I369)</f>
        <v>2.1444945647790217</v>
      </c>
      <c r="J370" s="168"/>
      <c r="K370"/>
      <c r="L370"/>
      <c r="M370"/>
    </row>
    <row r="371" spans="2:13" ht="12.75">
      <c r="B371" s="93"/>
      <c r="C371" s="121"/>
      <c r="D371" s="121"/>
      <c r="E371" s="57"/>
      <c r="F371" s="92"/>
      <c r="G371" s="92"/>
      <c r="H371" s="92"/>
      <c r="I371" s="219"/>
      <c r="J371" s="168"/>
      <c r="K371"/>
      <c r="L371"/>
      <c r="M371"/>
    </row>
    <row r="372" spans="2:13" ht="12.75">
      <c r="B372" s="11" t="s">
        <v>78</v>
      </c>
      <c r="C372" s="121"/>
      <c r="D372" s="121"/>
      <c r="E372" s="57"/>
      <c r="F372" s="92"/>
      <c r="G372" s="92"/>
      <c r="H372" s="92"/>
      <c r="I372" s="219"/>
      <c r="J372" s="168"/>
      <c r="K372"/>
      <c r="L372"/>
      <c r="M372"/>
    </row>
    <row r="373" spans="2:13" ht="12.75">
      <c r="B373" s="93"/>
      <c r="C373" s="121"/>
      <c r="D373" s="121"/>
      <c r="E373" s="57"/>
      <c r="F373" s="92"/>
      <c r="G373" s="92"/>
      <c r="H373" s="92"/>
      <c r="I373" s="219"/>
      <c r="J373" s="168"/>
      <c r="K373"/>
      <c r="L373"/>
      <c r="M373"/>
    </row>
    <row r="374" spans="2:13" ht="12.75">
      <c r="B374" s="13" t="s">
        <v>19</v>
      </c>
      <c r="C374" s="121" t="s">
        <v>21</v>
      </c>
      <c r="D374" s="121"/>
      <c r="E374" s="57"/>
      <c r="F374" s="92"/>
      <c r="G374" s="92"/>
      <c r="H374" s="92"/>
      <c r="I374" s="219"/>
      <c r="J374" s="168"/>
      <c r="K374"/>
      <c r="L374"/>
      <c r="M374"/>
    </row>
    <row r="375" spans="2:13" ht="12.75">
      <c r="B375" s="13" t="s">
        <v>20</v>
      </c>
      <c r="C375" s="121" t="s">
        <v>21</v>
      </c>
      <c r="D375" s="121"/>
      <c r="E375" s="57"/>
      <c r="F375" s="92"/>
      <c r="G375" s="92"/>
      <c r="H375" s="92"/>
      <c r="I375" s="219"/>
      <c r="J375" s="168"/>
      <c r="K375"/>
      <c r="L375"/>
      <c r="M375"/>
    </row>
    <row r="376" spans="2:13" ht="12.75">
      <c r="B376" s="13" t="s">
        <v>43</v>
      </c>
      <c r="C376" s="121" t="s">
        <v>21</v>
      </c>
      <c r="D376" s="121"/>
      <c r="E376" s="57"/>
      <c r="F376" s="92"/>
      <c r="G376" s="92"/>
      <c r="H376" s="92"/>
      <c r="I376" s="219"/>
      <c r="J376" s="168"/>
      <c r="K376"/>
      <c r="L376"/>
      <c r="M376"/>
    </row>
    <row r="377" spans="2:13" ht="12.75">
      <c r="B377" s="13" t="s">
        <v>29</v>
      </c>
      <c r="C377" s="121" t="s">
        <v>21</v>
      </c>
      <c r="D377" s="121"/>
      <c r="E377" s="57"/>
      <c r="F377" s="92"/>
      <c r="G377" s="92"/>
      <c r="H377" s="92"/>
      <c r="I377" s="219"/>
      <c r="J377" s="168"/>
      <c r="K377"/>
      <c r="L377"/>
      <c r="M377"/>
    </row>
    <row r="378" spans="2:13" ht="12.75">
      <c r="B378" s="13" t="s">
        <v>1</v>
      </c>
      <c r="C378" s="121" t="s">
        <v>21</v>
      </c>
      <c r="D378" s="121"/>
      <c r="E378" s="57"/>
      <c r="F378" s="92"/>
      <c r="G378" s="92"/>
      <c r="H378" s="92"/>
      <c r="I378" s="219"/>
      <c r="J378" s="168"/>
      <c r="K378"/>
      <c r="L378"/>
      <c r="M378"/>
    </row>
    <row r="379" spans="2:13" ht="12.75">
      <c r="B379" s="13" t="s">
        <v>10</v>
      </c>
      <c r="C379" s="121" t="s">
        <v>21</v>
      </c>
      <c r="D379" s="121"/>
      <c r="E379" s="57"/>
      <c r="F379" s="92"/>
      <c r="G379" s="92"/>
      <c r="H379" s="92"/>
      <c r="I379" s="219"/>
      <c r="J379" s="168"/>
      <c r="K379"/>
      <c r="L379"/>
      <c r="M379"/>
    </row>
    <row r="380" spans="2:13" ht="12.75">
      <c r="B380" s="13" t="s">
        <v>8</v>
      </c>
      <c r="C380" s="121" t="s">
        <v>21</v>
      </c>
      <c r="D380" s="121"/>
      <c r="E380" s="57"/>
      <c r="F380" s="92"/>
      <c r="G380" s="92"/>
      <c r="H380" s="92"/>
      <c r="I380" s="219"/>
      <c r="J380" s="168"/>
      <c r="K380"/>
      <c r="L380"/>
      <c r="M380"/>
    </row>
    <row r="381" spans="2:13" ht="12.75">
      <c r="B381" s="13" t="s">
        <v>44</v>
      </c>
      <c r="C381" s="121" t="s">
        <v>21</v>
      </c>
      <c r="D381" s="121"/>
      <c r="E381" s="57"/>
      <c r="F381" s="92"/>
      <c r="G381" s="92"/>
      <c r="H381" s="92"/>
      <c r="I381" s="219"/>
      <c r="J381" s="168"/>
      <c r="K381"/>
      <c r="L381"/>
      <c r="M381"/>
    </row>
    <row r="382" spans="2:13" ht="12.75">
      <c r="B382" s="13" t="s">
        <v>22</v>
      </c>
      <c r="C382" s="121" t="s">
        <v>21</v>
      </c>
      <c r="D382" s="121"/>
      <c r="E382" s="57"/>
      <c r="F382" s="92"/>
      <c r="G382" s="92"/>
      <c r="H382" s="92"/>
      <c r="I382" s="219"/>
      <c r="J382" s="168"/>
      <c r="K382"/>
      <c r="L382"/>
      <c r="M382"/>
    </row>
    <row r="383" spans="2:13" ht="12.75">
      <c r="B383" s="13" t="s">
        <v>2</v>
      </c>
      <c r="C383" s="121" t="s">
        <v>21</v>
      </c>
      <c r="D383" s="121"/>
      <c r="E383" s="57"/>
      <c r="F383" s="92"/>
      <c r="G383" s="92"/>
      <c r="H383" s="92"/>
      <c r="I383" s="219"/>
      <c r="J383" s="168"/>
      <c r="K383"/>
      <c r="L383"/>
      <c r="M383"/>
    </row>
    <row r="384" spans="2:13" ht="12.75">
      <c r="B384" s="13" t="s">
        <v>31</v>
      </c>
      <c r="C384" s="121" t="s">
        <v>21</v>
      </c>
      <c r="D384" s="121"/>
      <c r="E384" s="57"/>
      <c r="F384" s="92"/>
      <c r="G384" s="92"/>
      <c r="H384" s="92"/>
      <c r="I384" s="219"/>
      <c r="J384" s="168"/>
      <c r="K384"/>
      <c r="L384"/>
      <c r="M384"/>
    </row>
    <row r="385" spans="2:13" ht="12.75">
      <c r="B385" s="13" t="s">
        <v>3</v>
      </c>
      <c r="C385" s="121" t="s">
        <v>21</v>
      </c>
      <c r="D385" s="121"/>
      <c r="E385" s="57"/>
      <c r="F385" s="92"/>
      <c r="G385" s="92"/>
      <c r="H385" s="92"/>
      <c r="I385" s="219"/>
      <c r="J385" s="168"/>
      <c r="K385"/>
      <c r="L385"/>
      <c r="M385"/>
    </row>
    <row r="386" spans="2:13" ht="12.75">
      <c r="B386" s="93"/>
      <c r="C386" s="121"/>
      <c r="D386" s="121"/>
      <c r="E386" s="53"/>
      <c r="F386" s="56"/>
      <c r="G386" s="56"/>
      <c r="H386" s="56"/>
      <c r="I386" s="217"/>
      <c r="J386" s="168"/>
      <c r="K386"/>
      <c r="L386"/>
      <c r="M386"/>
    </row>
    <row r="387" spans="2:13" ht="12.75">
      <c r="B387" s="93"/>
      <c r="C387" s="121" t="s">
        <v>21</v>
      </c>
      <c r="D387" s="121"/>
      <c r="E387" s="57"/>
      <c r="F387" s="92"/>
      <c r="G387" s="92"/>
      <c r="H387" s="92"/>
      <c r="I387" s="219"/>
      <c r="J387" s="168"/>
      <c r="K387"/>
      <c r="L387"/>
      <c r="M387"/>
    </row>
    <row r="388" spans="2:13" ht="12.75">
      <c r="B388" s="93"/>
      <c r="C388" s="121"/>
      <c r="D388" s="121"/>
      <c r="E388" s="57"/>
      <c r="F388" s="92"/>
      <c r="G388" s="92"/>
      <c r="H388" s="92"/>
      <c r="I388" s="219"/>
      <c r="J388" s="168"/>
      <c r="K388"/>
      <c r="L388"/>
      <c r="M388"/>
    </row>
    <row r="389" spans="2:10" ht="12.75">
      <c r="B389" s="78" t="s">
        <v>157</v>
      </c>
      <c r="C389" s="119"/>
      <c r="D389" s="120"/>
      <c r="E389" s="58"/>
      <c r="F389" s="58"/>
      <c r="G389" s="58"/>
      <c r="H389" s="58"/>
      <c r="I389" s="216"/>
      <c r="J389" s="58"/>
    </row>
    <row r="390" spans="2:10" ht="12.75">
      <c r="B390" s="25" t="s">
        <v>128</v>
      </c>
      <c r="C390" s="121"/>
      <c r="D390" s="121"/>
      <c r="F390" s="13"/>
      <c r="G390" s="13"/>
      <c r="H390" s="13"/>
      <c r="I390" s="213"/>
      <c r="J390" s="5"/>
    </row>
    <row r="391" spans="2:10" ht="12.75">
      <c r="B391" s="13" t="s">
        <v>19</v>
      </c>
      <c r="C391" s="121" t="s">
        <v>21</v>
      </c>
      <c r="D391" s="121"/>
      <c r="E391" s="57">
        <v>0</v>
      </c>
      <c r="F391" s="92">
        <f>E391-E408</f>
        <v>0</v>
      </c>
      <c r="G391" s="92">
        <f>F391-F408</f>
        <v>0</v>
      </c>
      <c r="H391" s="92">
        <f>G391-G408</f>
        <v>0</v>
      </c>
      <c r="I391" s="219">
        <f>H391-H408</f>
        <v>0</v>
      </c>
      <c r="J391" s="92">
        <f>I391-I408</f>
        <v>0</v>
      </c>
    </row>
    <row r="392" spans="2:10" ht="12.75">
      <c r="B392" s="13" t="s">
        <v>20</v>
      </c>
      <c r="C392" s="121" t="s">
        <v>21</v>
      </c>
      <c r="D392" s="121"/>
      <c r="E392" s="57">
        <v>0</v>
      </c>
      <c r="F392" s="92">
        <f aca="true" t="shared" si="8" ref="F392:J402">E392-E409</f>
        <v>0</v>
      </c>
      <c r="G392" s="92">
        <f t="shared" si="8"/>
        <v>0</v>
      </c>
      <c r="H392" s="92">
        <f t="shared" si="8"/>
        <v>0</v>
      </c>
      <c r="I392" s="219">
        <f t="shared" si="8"/>
        <v>0</v>
      </c>
      <c r="J392" s="92">
        <f t="shared" si="8"/>
        <v>0</v>
      </c>
    </row>
    <row r="393" spans="2:10" ht="12.75">
      <c r="B393" s="13" t="s">
        <v>43</v>
      </c>
      <c r="C393" s="121" t="s">
        <v>21</v>
      </c>
      <c r="D393" s="121"/>
      <c r="E393" s="57">
        <v>0.426991</v>
      </c>
      <c r="F393" s="92">
        <f t="shared" si="8"/>
        <v>0.42274992928088995</v>
      </c>
      <c r="G393" s="92">
        <f t="shared" si="8"/>
        <v>0.4142677878426698</v>
      </c>
      <c r="H393" s="92">
        <f t="shared" si="8"/>
        <v>0.4057856464044497</v>
      </c>
      <c r="I393" s="219">
        <f t="shared" si="8"/>
        <v>0.39730350496622957</v>
      </c>
      <c r="J393" s="92">
        <f t="shared" si="8"/>
        <v>0.38882136352800944</v>
      </c>
    </row>
    <row r="394" spans="2:10" ht="12.75">
      <c r="B394" s="13" t="s">
        <v>29</v>
      </c>
      <c r="C394" s="121" t="s">
        <v>21</v>
      </c>
      <c r="D394" s="121"/>
      <c r="E394" s="57">
        <v>0</v>
      </c>
      <c r="F394" s="92">
        <f t="shared" si="8"/>
        <v>0</v>
      </c>
      <c r="G394" s="92">
        <f t="shared" si="8"/>
        <v>0</v>
      </c>
      <c r="H394" s="92">
        <f t="shared" si="8"/>
        <v>0</v>
      </c>
      <c r="I394" s="219">
        <f t="shared" si="8"/>
        <v>0</v>
      </c>
      <c r="J394" s="92">
        <f t="shared" si="8"/>
        <v>0</v>
      </c>
    </row>
    <row r="395" spans="2:10" ht="12.75">
      <c r="B395" s="13" t="s">
        <v>1</v>
      </c>
      <c r="C395" s="121" t="s">
        <v>21</v>
      </c>
      <c r="D395" s="121"/>
      <c r="E395" s="57">
        <v>0</v>
      </c>
      <c r="F395" s="92">
        <f t="shared" si="8"/>
        <v>0</v>
      </c>
      <c r="G395" s="92">
        <f t="shared" si="8"/>
        <v>0</v>
      </c>
      <c r="H395" s="92">
        <f t="shared" si="8"/>
        <v>0</v>
      </c>
      <c r="I395" s="219">
        <f t="shared" si="8"/>
        <v>0</v>
      </c>
      <c r="J395" s="92">
        <f t="shared" si="8"/>
        <v>0</v>
      </c>
    </row>
    <row r="396" spans="2:10" ht="12.75">
      <c r="B396" s="13" t="s">
        <v>10</v>
      </c>
      <c r="C396" s="121" t="s">
        <v>21</v>
      </c>
      <c r="D396" s="121"/>
      <c r="E396" s="57">
        <v>0</v>
      </c>
      <c r="F396" s="92">
        <f t="shared" si="8"/>
        <v>0</v>
      </c>
      <c r="G396" s="92">
        <f t="shared" si="8"/>
        <v>0</v>
      </c>
      <c r="H396" s="92">
        <f t="shared" si="8"/>
        <v>0</v>
      </c>
      <c r="I396" s="219">
        <f t="shared" si="8"/>
        <v>0</v>
      </c>
      <c r="J396" s="92">
        <f t="shared" si="8"/>
        <v>0</v>
      </c>
    </row>
    <row r="397" spans="2:10" ht="12.75">
      <c r="B397" s="13" t="s">
        <v>8</v>
      </c>
      <c r="C397" s="121" t="s">
        <v>21</v>
      </c>
      <c r="D397" s="121"/>
      <c r="E397" s="57">
        <v>0</v>
      </c>
      <c r="F397" s="92">
        <f t="shared" si="8"/>
        <v>0</v>
      </c>
      <c r="G397" s="92">
        <f t="shared" si="8"/>
        <v>0</v>
      </c>
      <c r="H397" s="92">
        <f t="shared" si="8"/>
        <v>0</v>
      </c>
      <c r="I397" s="219">
        <f t="shared" si="8"/>
        <v>0</v>
      </c>
      <c r="J397" s="92">
        <f t="shared" si="8"/>
        <v>0</v>
      </c>
    </row>
    <row r="398" spans="2:10" ht="12.75">
      <c r="B398" s="13" t="s">
        <v>44</v>
      </c>
      <c r="C398" s="121" t="s">
        <v>21</v>
      </c>
      <c r="D398" s="121"/>
      <c r="E398" s="57">
        <v>0.152832</v>
      </c>
      <c r="F398" s="92">
        <f t="shared" si="8"/>
        <v>0.14785051368970012</v>
      </c>
      <c r="G398" s="92">
        <f t="shared" si="8"/>
        <v>0.1378875410691004</v>
      </c>
      <c r="H398" s="92">
        <f t="shared" si="8"/>
        <v>0.12792456844850064</v>
      </c>
      <c r="I398" s="219">
        <f t="shared" si="8"/>
        <v>0.1179615958279009</v>
      </c>
      <c r="J398" s="92">
        <f t="shared" si="8"/>
        <v>0.10799862320730116</v>
      </c>
    </row>
    <row r="399" spans="2:10" ht="12.75">
      <c r="B399" s="13" t="s">
        <v>22</v>
      </c>
      <c r="C399" s="121" t="s">
        <v>21</v>
      </c>
      <c r="D399" s="121"/>
      <c r="E399" s="57">
        <v>0</v>
      </c>
      <c r="F399" s="92">
        <f t="shared" si="8"/>
        <v>0</v>
      </c>
      <c r="G399" s="92">
        <f t="shared" si="8"/>
        <v>0</v>
      </c>
      <c r="H399" s="92">
        <f t="shared" si="8"/>
        <v>0</v>
      </c>
      <c r="I399" s="219">
        <f t="shared" si="8"/>
        <v>0</v>
      </c>
      <c r="J399" s="92">
        <f t="shared" si="8"/>
        <v>0</v>
      </c>
    </row>
    <row r="400" spans="2:10" ht="12.75">
      <c r="B400" s="13" t="s">
        <v>2</v>
      </c>
      <c r="C400" s="121" t="s">
        <v>21</v>
      </c>
      <c r="D400" s="121"/>
      <c r="E400" s="57">
        <v>0</v>
      </c>
      <c r="F400" s="92">
        <f t="shared" si="8"/>
        <v>0</v>
      </c>
      <c r="G400" s="92">
        <f t="shared" si="8"/>
        <v>0</v>
      </c>
      <c r="H400" s="92">
        <f t="shared" si="8"/>
        <v>0</v>
      </c>
      <c r="I400" s="219">
        <f t="shared" si="8"/>
        <v>0</v>
      </c>
      <c r="J400" s="92">
        <f t="shared" si="8"/>
        <v>0</v>
      </c>
    </row>
    <row r="401" spans="2:10" ht="12.75">
      <c r="B401" s="13" t="s">
        <v>31</v>
      </c>
      <c r="C401" s="121" t="s">
        <v>21</v>
      </c>
      <c r="D401" s="121"/>
      <c r="E401" s="57">
        <v>0</v>
      </c>
      <c r="F401" s="92">
        <f t="shared" si="8"/>
        <v>0</v>
      </c>
      <c r="G401" s="92">
        <f t="shared" si="8"/>
        <v>0</v>
      </c>
      <c r="H401" s="92">
        <f t="shared" si="8"/>
        <v>0</v>
      </c>
      <c r="I401" s="219">
        <f t="shared" si="8"/>
        <v>0</v>
      </c>
      <c r="J401" s="92">
        <f t="shared" si="8"/>
        <v>0</v>
      </c>
    </row>
    <row r="402" spans="2:10" ht="12.75">
      <c r="B402" s="13" t="s">
        <v>3</v>
      </c>
      <c r="C402" s="121" t="s">
        <v>21</v>
      </c>
      <c r="D402" s="121"/>
      <c r="E402" s="57">
        <v>0</v>
      </c>
      <c r="F402" s="92">
        <f t="shared" si="8"/>
        <v>0</v>
      </c>
      <c r="G402" s="92">
        <f t="shared" si="8"/>
        <v>0</v>
      </c>
      <c r="H402" s="92">
        <f t="shared" si="8"/>
        <v>0</v>
      </c>
      <c r="I402" s="219">
        <f t="shared" si="8"/>
        <v>0</v>
      </c>
      <c r="J402" s="92">
        <f t="shared" si="8"/>
        <v>0</v>
      </c>
    </row>
    <row r="403" spans="2:10" ht="12.75">
      <c r="B403" s="37"/>
      <c r="C403" s="121"/>
      <c r="D403" s="121"/>
      <c r="E403" s="56"/>
      <c r="F403" s="56"/>
      <c r="G403" s="56"/>
      <c r="H403" s="56"/>
      <c r="I403" s="217"/>
      <c r="J403" s="56"/>
    </row>
    <row r="404" spans="2:10" ht="12.75">
      <c r="B404" s="36"/>
      <c r="C404" s="121" t="s">
        <v>21</v>
      </c>
      <c r="D404" s="121"/>
      <c r="E404" s="92">
        <f aca="true" t="shared" si="9" ref="E404:J404">SUM(E391:E403)</f>
        <v>0.579823</v>
      </c>
      <c r="F404" s="92">
        <f t="shared" si="9"/>
        <v>0.5706004429705901</v>
      </c>
      <c r="G404" s="92">
        <f t="shared" si="9"/>
        <v>0.5521553289117702</v>
      </c>
      <c r="H404" s="92">
        <f t="shared" si="9"/>
        <v>0.5337102148529503</v>
      </c>
      <c r="I404" s="219">
        <f t="shared" si="9"/>
        <v>0.5152651007941305</v>
      </c>
      <c r="J404" s="92">
        <f t="shared" si="9"/>
        <v>0.4968199867353106</v>
      </c>
    </row>
    <row r="405" spans="2:10" ht="12.75">
      <c r="B405" s="36"/>
      <c r="C405" s="121"/>
      <c r="D405" s="121"/>
      <c r="F405" s="13"/>
      <c r="G405" s="13"/>
      <c r="H405" s="13"/>
      <c r="I405" s="213"/>
      <c r="J405" s="5"/>
    </row>
    <row r="406" spans="2:10" ht="12.75">
      <c r="B406" s="95" t="s">
        <v>150</v>
      </c>
      <c r="C406" s="118"/>
      <c r="D406" s="118"/>
      <c r="E406" s="13"/>
      <c r="F406" s="13"/>
      <c r="G406" s="13"/>
      <c r="H406" s="13"/>
      <c r="I406" s="213"/>
      <c r="J406" s="5"/>
    </row>
    <row r="407" spans="2:10" ht="12.75">
      <c r="B407" s="36"/>
      <c r="C407" s="121"/>
      <c r="D407" s="121"/>
      <c r="F407" s="13"/>
      <c r="G407" s="13"/>
      <c r="H407" s="13"/>
      <c r="I407" s="213"/>
      <c r="J407" s="5"/>
    </row>
    <row r="408" spans="2:11" ht="12.75">
      <c r="B408" s="13" t="s">
        <v>19</v>
      </c>
      <c r="C408" s="121" t="s">
        <v>21</v>
      </c>
      <c r="D408" s="121"/>
      <c r="E408" s="50">
        <v>0</v>
      </c>
      <c r="F408" s="52">
        <v>0</v>
      </c>
      <c r="G408" s="52">
        <v>0</v>
      </c>
      <c r="H408" s="52">
        <v>0</v>
      </c>
      <c r="I408" s="219">
        <v>0</v>
      </c>
      <c r="J408" s="168"/>
      <c r="K408"/>
    </row>
    <row r="409" spans="2:11" ht="12.75">
      <c r="B409" s="13" t="s">
        <v>20</v>
      </c>
      <c r="C409" s="121" t="s">
        <v>21</v>
      </c>
      <c r="D409" s="121"/>
      <c r="E409" s="50">
        <v>0</v>
      </c>
      <c r="F409" s="52">
        <v>0</v>
      </c>
      <c r="G409" s="52">
        <v>0</v>
      </c>
      <c r="H409" s="52">
        <v>0</v>
      </c>
      <c r="I409" s="219">
        <v>0</v>
      </c>
      <c r="J409" s="168"/>
      <c r="K409"/>
    </row>
    <row r="410" spans="2:11" ht="12.75">
      <c r="B410" s="13" t="s">
        <v>43</v>
      </c>
      <c r="C410" s="121" t="s">
        <v>21</v>
      </c>
      <c r="D410" s="121"/>
      <c r="E410" s="50">
        <v>0.0042410707191100514</v>
      </c>
      <c r="F410" s="52">
        <v>0.008482141438220103</v>
      </c>
      <c r="G410" s="52">
        <v>0.008482141438220103</v>
      </c>
      <c r="H410" s="52">
        <v>0.008482141438220103</v>
      </c>
      <c r="I410" s="219">
        <v>0.008482141438220103</v>
      </c>
      <c r="J410" s="168"/>
      <c r="K410"/>
    </row>
    <row r="411" spans="2:11" ht="12.75">
      <c r="B411" s="13" t="s">
        <v>29</v>
      </c>
      <c r="C411" s="121" t="s">
        <v>21</v>
      </c>
      <c r="D411" s="121"/>
      <c r="E411" s="50">
        <v>0</v>
      </c>
      <c r="F411" s="52">
        <v>0</v>
      </c>
      <c r="G411" s="52">
        <v>0</v>
      </c>
      <c r="H411" s="52">
        <v>0</v>
      </c>
      <c r="I411" s="219">
        <v>0</v>
      </c>
      <c r="J411" s="168"/>
      <c r="K411"/>
    </row>
    <row r="412" spans="2:11" ht="12.75">
      <c r="B412" s="13" t="s">
        <v>1</v>
      </c>
      <c r="C412" s="121" t="s">
        <v>21</v>
      </c>
      <c r="D412" s="121"/>
      <c r="E412" s="50">
        <v>0</v>
      </c>
      <c r="F412" s="52">
        <v>0</v>
      </c>
      <c r="G412" s="52">
        <v>0</v>
      </c>
      <c r="H412" s="52">
        <v>0</v>
      </c>
      <c r="I412" s="219">
        <v>0</v>
      </c>
      <c r="J412" s="168"/>
      <c r="K412"/>
    </row>
    <row r="413" spans="2:11" ht="12.75">
      <c r="B413" s="13" t="s">
        <v>10</v>
      </c>
      <c r="C413" s="121" t="s">
        <v>21</v>
      </c>
      <c r="D413" s="121"/>
      <c r="E413" s="50">
        <v>0</v>
      </c>
      <c r="F413" s="52">
        <v>0</v>
      </c>
      <c r="G413" s="52">
        <v>0</v>
      </c>
      <c r="H413" s="52">
        <v>0</v>
      </c>
      <c r="I413" s="219">
        <v>0</v>
      </c>
      <c r="J413" s="168"/>
      <c r="K413"/>
    </row>
    <row r="414" spans="2:11" ht="12.75">
      <c r="B414" s="13" t="s">
        <v>8</v>
      </c>
      <c r="C414" s="121" t="s">
        <v>21</v>
      </c>
      <c r="D414" s="121"/>
      <c r="E414" s="50">
        <v>0</v>
      </c>
      <c r="F414" s="52">
        <v>0</v>
      </c>
      <c r="G414" s="52">
        <v>0</v>
      </c>
      <c r="H414" s="52">
        <v>0</v>
      </c>
      <c r="I414" s="219">
        <v>0</v>
      </c>
      <c r="J414" s="168"/>
      <c r="K414"/>
    </row>
    <row r="415" spans="2:11" ht="12.75">
      <c r="B415" s="13" t="s">
        <v>44</v>
      </c>
      <c r="C415" s="121" t="s">
        <v>21</v>
      </c>
      <c r="D415" s="121"/>
      <c r="E415" s="50">
        <v>0.004981486310299869</v>
      </c>
      <c r="F415" s="52">
        <v>0.009962972620599739</v>
      </c>
      <c r="G415" s="52">
        <v>0.009962972620599739</v>
      </c>
      <c r="H415" s="52">
        <v>0.009962972620599739</v>
      </c>
      <c r="I415" s="219">
        <v>0.009962972620599739</v>
      </c>
      <c r="J415" s="168"/>
      <c r="K415"/>
    </row>
    <row r="416" spans="2:11" ht="12.75">
      <c r="B416" s="13" t="s">
        <v>22</v>
      </c>
      <c r="C416" s="121" t="s">
        <v>21</v>
      </c>
      <c r="D416" s="121"/>
      <c r="E416" s="50">
        <v>0</v>
      </c>
      <c r="F416" s="52">
        <v>0</v>
      </c>
      <c r="G416" s="52">
        <v>0</v>
      </c>
      <c r="H416" s="52">
        <v>0</v>
      </c>
      <c r="I416" s="219">
        <v>0</v>
      </c>
      <c r="J416" s="168"/>
      <c r="K416"/>
    </row>
    <row r="417" spans="2:11" ht="12.75">
      <c r="B417" s="13" t="s">
        <v>2</v>
      </c>
      <c r="C417" s="121" t="s">
        <v>21</v>
      </c>
      <c r="D417" s="121"/>
      <c r="E417" s="50">
        <v>0</v>
      </c>
      <c r="F417" s="52">
        <v>0</v>
      </c>
      <c r="G417" s="52">
        <v>0</v>
      </c>
      <c r="H417" s="52">
        <v>0</v>
      </c>
      <c r="I417" s="219">
        <v>0</v>
      </c>
      <c r="J417" s="168"/>
      <c r="K417"/>
    </row>
    <row r="418" spans="2:11" ht="12.75">
      <c r="B418" s="13" t="s">
        <v>31</v>
      </c>
      <c r="C418" s="121" t="s">
        <v>21</v>
      </c>
      <c r="D418" s="121"/>
      <c r="E418" s="50">
        <v>0</v>
      </c>
      <c r="F418" s="52">
        <v>0</v>
      </c>
      <c r="G418" s="52">
        <v>0</v>
      </c>
      <c r="H418" s="52">
        <v>0</v>
      </c>
      <c r="I418" s="219">
        <v>0</v>
      </c>
      <c r="J418" s="168"/>
      <c r="K418"/>
    </row>
    <row r="419" spans="2:11" ht="12.75">
      <c r="B419" s="13" t="s">
        <v>3</v>
      </c>
      <c r="C419" s="121" t="s">
        <v>21</v>
      </c>
      <c r="D419" s="121"/>
      <c r="E419" s="50"/>
      <c r="F419" s="52"/>
      <c r="G419" s="52"/>
      <c r="H419" s="52"/>
      <c r="I419" s="219"/>
      <c r="J419" s="168"/>
      <c r="K419"/>
    </row>
    <row r="420" spans="2:11" ht="12.75">
      <c r="B420" s="36"/>
      <c r="C420" s="121"/>
      <c r="D420" s="121"/>
      <c r="E420" s="53"/>
      <c r="F420" s="56"/>
      <c r="G420" s="56"/>
      <c r="H420" s="56"/>
      <c r="I420" s="217"/>
      <c r="J420" s="168"/>
      <c r="K420"/>
    </row>
    <row r="421" spans="2:11" ht="12.75">
      <c r="B421" s="36"/>
      <c r="C421" s="121" t="s">
        <v>21</v>
      </c>
      <c r="D421" s="121"/>
      <c r="E421" s="57">
        <f>SUM(E408:E420)</f>
        <v>0.009222557029409922</v>
      </c>
      <c r="F421" s="92">
        <f>SUM(F408:F420)</f>
        <v>0.018445114058819843</v>
      </c>
      <c r="G421" s="92">
        <f>SUM(G408:G420)</f>
        <v>0.018445114058819843</v>
      </c>
      <c r="H421" s="92">
        <f>SUM(H408:H420)</f>
        <v>0.018445114058819843</v>
      </c>
      <c r="I421" s="219">
        <f>SUM(I408:I420)</f>
        <v>0.018445114058819843</v>
      </c>
      <c r="J421" s="168"/>
      <c r="K421"/>
    </row>
    <row r="422" spans="2:11" ht="12.75">
      <c r="B422" s="36"/>
      <c r="C422" s="121"/>
      <c r="D422" s="121"/>
      <c r="E422" s="57"/>
      <c r="F422" s="92"/>
      <c r="G422" s="92"/>
      <c r="H422" s="92"/>
      <c r="I422" s="219"/>
      <c r="J422" s="168"/>
      <c r="K422"/>
    </row>
    <row r="423" spans="1:10" s="30" customFormat="1" ht="12.75">
      <c r="A423" s="13"/>
      <c r="B423" s="78" t="s">
        <v>151</v>
      </c>
      <c r="C423" s="119"/>
      <c r="D423" s="120"/>
      <c r="E423" s="58"/>
      <c r="I423" s="216"/>
      <c r="J423" s="58"/>
    </row>
    <row r="424" spans="2:10" ht="12.75">
      <c r="B424" s="25" t="s">
        <v>128</v>
      </c>
      <c r="C424" s="121"/>
      <c r="D424" s="121"/>
      <c r="I424" s="208"/>
      <c r="J424" s="32"/>
    </row>
    <row r="425" spans="2:11" ht="12.75">
      <c r="B425" s="13" t="s">
        <v>19</v>
      </c>
      <c r="C425" s="121" t="s">
        <v>21</v>
      </c>
      <c r="D425" s="121"/>
      <c r="E425" s="57"/>
      <c r="F425" s="57">
        <v>0</v>
      </c>
      <c r="G425" s="57">
        <f>F425-F442</f>
        <v>0</v>
      </c>
      <c r="H425" s="57">
        <f>G425-G442</f>
        <v>0</v>
      </c>
      <c r="I425" s="210">
        <f>H425-H442</f>
        <v>0</v>
      </c>
      <c r="J425" s="57">
        <f>I425-I442</f>
        <v>0</v>
      </c>
      <c r="K425" s="168"/>
    </row>
    <row r="426" spans="2:11" ht="12.75">
      <c r="B426" s="13" t="s">
        <v>20</v>
      </c>
      <c r="C426" s="121" t="s">
        <v>21</v>
      </c>
      <c r="D426" s="121"/>
      <c r="E426" s="57"/>
      <c r="F426" s="57">
        <v>0</v>
      </c>
      <c r="G426" s="57">
        <f aca="true" t="shared" si="10" ref="G426:J436">F426-F443</f>
        <v>0</v>
      </c>
      <c r="H426" s="57">
        <f t="shared" si="10"/>
        <v>0</v>
      </c>
      <c r="I426" s="210">
        <f t="shared" si="10"/>
        <v>0</v>
      </c>
      <c r="J426" s="57">
        <f t="shared" si="10"/>
        <v>0</v>
      </c>
      <c r="K426" s="168"/>
    </row>
    <row r="427" spans="2:11" ht="12.75">
      <c r="B427" s="13" t="s">
        <v>43</v>
      </c>
      <c r="C427" s="121" t="s">
        <v>21</v>
      </c>
      <c r="D427" s="121"/>
      <c r="E427" s="57"/>
      <c r="F427" s="57">
        <v>0</v>
      </c>
      <c r="G427" s="57">
        <f t="shared" si="10"/>
        <v>0</v>
      </c>
      <c r="H427" s="57">
        <f t="shared" si="10"/>
        <v>0</v>
      </c>
      <c r="I427" s="210">
        <f t="shared" si="10"/>
        <v>0</v>
      </c>
      <c r="J427" s="57">
        <f t="shared" si="10"/>
        <v>0</v>
      </c>
      <c r="K427" s="168"/>
    </row>
    <row r="428" spans="2:11" ht="12.75">
      <c r="B428" s="13" t="s">
        <v>29</v>
      </c>
      <c r="C428" s="121" t="s">
        <v>21</v>
      </c>
      <c r="D428" s="121"/>
      <c r="E428" s="57"/>
      <c r="F428" s="57">
        <v>0</v>
      </c>
      <c r="G428" s="57">
        <f t="shared" si="10"/>
        <v>0</v>
      </c>
      <c r="H428" s="57">
        <f t="shared" si="10"/>
        <v>0</v>
      </c>
      <c r="I428" s="210">
        <f t="shared" si="10"/>
        <v>0</v>
      </c>
      <c r="J428" s="57">
        <f t="shared" si="10"/>
        <v>0</v>
      </c>
      <c r="K428" s="168"/>
    </row>
    <row r="429" spans="2:11" ht="12.75">
      <c r="B429" s="13" t="s">
        <v>1</v>
      </c>
      <c r="C429" s="121" t="s">
        <v>21</v>
      </c>
      <c r="D429" s="121"/>
      <c r="E429" s="57"/>
      <c r="F429" s="57">
        <v>0</v>
      </c>
      <c r="G429" s="57">
        <f t="shared" si="10"/>
        <v>0</v>
      </c>
      <c r="H429" s="57">
        <f t="shared" si="10"/>
        <v>0</v>
      </c>
      <c r="I429" s="210">
        <f t="shared" si="10"/>
        <v>0</v>
      </c>
      <c r="J429" s="57">
        <f t="shared" si="10"/>
        <v>0</v>
      </c>
      <c r="K429" s="168"/>
    </row>
    <row r="430" spans="2:11" ht="12.75">
      <c r="B430" s="13" t="s">
        <v>10</v>
      </c>
      <c r="C430" s="121" t="s">
        <v>21</v>
      </c>
      <c r="D430" s="121"/>
      <c r="E430" s="57"/>
      <c r="F430" s="57">
        <v>0</v>
      </c>
      <c r="G430" s="57">
        <f t="shared" si="10"/>
        <v>0</v>
      </c>
      <c r="H430" s="57">
        <f t="shared" si="10"/>
        <v>0</v>
      </c>
      <c r="I430" s="210">
        <f t="shared" si="10"/>
        <v>0</v>
      </c>
      <c r="J430" s="57">
        <f t="shared" si="10"/>
        <v>0</v>
      </c>
      <c r="K430" s="168"/>
    </row>
    <row r="431" spans="2:11" ht="12.75">
      <c r="B431" s="13" t="s">
        <v>8</v>
      </c>
      <c r="C431" s="121" t="s">
        <v>21</v>
      </c>
      <c r="D431" s="121"/>
      <c r="E431" s="57"/>
      <c r="F431" s="57">
        <v>0.24857194248300069</v>
      </c>
      <c r="G431" s="57">
        <f t="shared" si="10"/>
        <v>0.24148988121776943</v>
      </c>
      <c r="H431" s="57">
        <f t="shared" si="10"/>
        <v>0.23440781995253818</v>
      </c>
      <c r="I431" s="210">
        <f t="shared" si="10"/>
        <v>0.22732575868730692</v>
      </c>
      <c r="J431" s="57">
        <f t="shared" si="10"/>
        <v>0.22024369742207567</v>
      </c>
      <c r="K431" s="168"/>
    </row>
    <row r="432" spans="2:11" ht="12.75">
      <c r="B432" s="13" t="s">
        <v>44</v>
      </c>
      <c r="C432" s="121" t="s">
        <v>21</v>
      </c>
      <c r="D432" s="121"/>
      <c r="E432" s="57"/>
      <c r="F432" s="57">
        <v>0</v>
      </c>
      <c r="G432" s="57">
        <f t="shared" si="10"/>
        <v>0</v>
      </c>
      <c r="H432" s="57">
        <f t="shared" si="10"/>
        <v>0</v>
      </c>
      <c r="I432" s="210">
        <f t="shared" si="10"/>
        <v>0</v>
      </c>
      <c r="J432" s="57">
        <f t="shared" si="10"/>
        <v>0</v>
      </c>
      <c r="K432" s="168"/>
    </row>
    <row r="433" spans="2:11" ht="12.75">
      <c r="B433" s="13" t="s">
        <v>22</v>
      </c>
      <c r="C433" s="121" t="s">
        <v>21</v>
      </c>
      <c r="D433" s="121"/>
      <c r="E433" s="57"/>
      <c r="F433" s="57">
        <v>3.82275654004806</v>
      </c>
      <c r="G433" s="57">
        <f t="shared" si="10"/>
        <v>3.237938652964787</v>
      </c>
      <c r="H433" s="57">
        <f t="shared" si="10"/>
        <v>2.6531207658815137</v>
      </c>
      <c r="I433" s="210">
        <f t="shared" si="10"/>
        <v>2.0683028787982405</v>
      </c>
      <c r="J433" s="57">
        <f t="shared" si="10"/>
        <v>1.4834849917149673</v>
      </c>
      <c r="K433" s="168"/>
    </row>
    <row r="434" spans="2:11" ht="12.75">
      <c r="B434" s="13" t="s">
        <v>2</v>
      </c>
      <c r="C434" s="121" t="s">
        <v>21</v>
      </c>
      <c r="D434" s="121"/>
      <c r="E434" s="57"/>
      <c r="F434" s="57">
        <v>0.04178563252315913</v>
      </c>
      <c r="G434" s="57">
        <f t="shared" si="10"/>
        <v>0.031396159554140615</v>
      </c>
      <c r="H434" s="57">
        <f t="shared" si="10"/>
        <v>0.0210066865851221</v>
      </c>
      <c r="I434" s="210">
        <f t="shared" si="10"/>
        <v>0.010617213616103583</v>
      </c>
      <c r="J434" s="57">
        <f t="shared" si="10"/>
        <v>0.00022774064708506667</v>
      </c>
      <c r="K434" s="168"/>
    </row>
    <row r="435" spans="2:11" ht="12.75">
      <c r="B435" s="13" t="s">
        <v>31</v>
      </c>
      <c r="C435" s="121" t="s">
        <v>21</v>
      </c>
      <c r="D435" s="121"/>
      <c r="E435" s="57"/>
      <c r="F435" s="57">
        <v>0</v>
      </c>
      <c r="G435" s="57">
        <f t="shared" si="10"/>
        <v>0</v>
      </c>
      <c r="H435" s="57">
        <f t="shared" si="10"/>
        <v>0</v>
      </c>
      <c r="I435" s="210">
        <f t="shared" si="10"/>
        <v>0</v>
      </c>
      <c r="J435" s="57">
        <f t="shared" si="10"/>
        <v>0</v>
      </c>
      <c r="K435" s="168"/>
    </row>
    <row r="436" spans="2:11" ht="12.75">
      <c r="B436" s="13" t="s">
        <v>3</v>
      </c>
      <c r="C436" s="121" t="s">
        <v>21</v>
      </c>
      <c r="D436" s="121"/>
      <c r="E436" s="57"/>
      <c r="F436" s="57">
        <v>0</v>
      </c>
      <c r="G436" s="57">
        <f t="shared" si="10"/>
        <v>0</v>
      </c>
      <c r="H436" s="57">
        <f t="shared" si="10"/>
        <v>0</v>
      </c>
      <c r="I436" s="210">
        <f t="shared" si="10"/>
        <v>0</v>
      </c>
      <c r="J436" s="57">
        <f t="shared" si="10"/>
        <v>0</v>
      </c>
      <c r="K436" s="168"/>
    </row>
    <row r="437" spans="2:11" ht="12.75">
      <c r="B437" s="37"/>
      <c r="C437" s="121"/>
      <c r="D437" s="121"/>
      <c r="E437" s="56"/>
      <c r="F437" s="56"/>
      <c r="G437" s="56"/>
      <c r="H437" s="56"/>
      <c r="I437" s="217"/>
      <c r="J437" s="168"/>
      <c r="K437" s="168"/>
    </row>
    <row r="438" spans="2:11" ht="12.75">
      <c r="B438" s="36"/>
      <c r="C438" s="121" t="s">
        <v>21</v>
      </c>
      <c r="D438" s="121"/>
      <c r="E438" s="92">
        <f aca="true" t="shared" si="11" ref="E438:J438">SUM(E425:E437)</f>
        <v>0</v>
      </c>
      <c r="F438" s="92">
        <f t="shared" si="11"/>
        <v>4.11311411505422</v>
      </c>
      <c r="G438" s="92">
        <f t="shared" si="11"/>
        <v>3.510824693736697</v>
      </c>
      <c r="H438" s="92">
        <f t="shared" si="11"/>
        <v>2.908535272419174</v>
      </c>
      <c r="I438" s="218">
        <f t="shared" si="11"/>
        <v>2.306245851101651</v>
      </c>
      <c r="J438" s="173">
        <f t="shared" si="11"/>
        <v>1.7039564297841279</v>
      </c>
      <c r="K438" s="168"/>
    </row>
    <row r="439" spans="2:11" ht="12.75">
      <c r="B439" s="36"/>
      <c r="C439" s="121"/>
      <c r="D439" s="121"/>
      <c r="I439" s="208"/>
      <c r="J439" s="168"/>
      <c r="K439"/>
    </row>
    <row r="440" spans="2:11" ht="12.75">
      <c r="B440" s="95" t="s">
        <v>152</v>
      </c>
      <c r="C440" s="118"/>
      <c r="D440" s="118"/>
      <c r="E440" s="13"/>
      <c r="F440" s="13"/>
      <c r="G440" s="13"/>
      <c r="H440" s="13"/>
      <c r="I440" s="213"/>
      <c r="J440" s="168"/>
      <c r="K440"/>
    </row>
    <row r="441" spans="2:11" ht="12.75">
      <c r="B441" s="36"/>
      <c r="C441" s="121"/>
      <c r="D441" s="121"/>
      <c r="I441" s="208"/>
      <c r="J441" s="168"/>
      <c r="K441"/>
    </row>
    <row r="442" spans="2:11" ht="12.75">
      <c r="B442" s="13" t="s">
        <v>19</v>
      </c>
      <c r="C442" s="121" t="s">
        <v>21</v>
      </c>
      <c r="D442" s="121"/>
      <c r="E442" s="50">
        <v>0</v>
      </c>
      <c r="F442" s="50">
        <v>0</v>
      </c>
      <c r="G442" s="50">
        <v>0</v>
      </c>
      <c r="H442" s="50">
        <v>0</v>
      </c>
      <c r="I442" s="210">
        <v>0</v>
      </c>
      <c r="J442" s="168"/>
      <c r="K442"/>
    </row>
    <row r="443" spans="2:11" ht="12.75">
      <c r="B443" s="13" t="s">
        <v>20</v>
      </c>
      <c r="C443" s="121" t="s">
        <v>21</v>
      </c>
      <c r="D443" s="121"/>
      <c r="E443" s="50">
        <v>0</v>
      </c>
      <c r="F443" s="50">
        <v>0</v>
      </c>
      <c r="G443" s="50">
        <v>0</v>
      </c>
      <c r="H443" s="50">
        <v>0</v>
      </c>
      <c r="I443" s="210">
        <v>0</v>
      </c>
      <c r="J443" s="168"/>
      <c r="K443"/>
    </row>
    <row r="444" spans="2:11" ht="12.75">
      <c r="B444" s="13" t="s">
        <v>43</v>
      </c>
      <c r="C444" s="121" t="s">
        <v>21</v>
      </c>
      <c r="D444" s="121"/>
      <c r="E444" s="50">
        <v>0</v>
      </c>
      <c r="F444" s="50">
        <v>0</v>
      </c>
      <c r="G444" s="50">
        <v>0</v>
      </c>
      <c r="H444" s="50">
        <v>0</v>
      </c>
      <c r="I444" s="210">
        <v>0</v>
      </c>
      <c r="J444" s="168"/>
      <c r="K444"/>
    </row>
    <row r="445" spans="2:11" ht="12.75">
      <c r="B445" s="13" t="s">
        <v>29</v>
      </c>
      <c r="C445" s="121" t="s">
        <v>21</v>
      </c>
      <c r="D445" s="121"/>
      <c r="E445" s="50">
        <v>0</v>
      </c>
      <c r="F445" s="50">
        <v>0</v>
      </c>
      <c r="G445" s="50">
        <v>0</v>
      </c>
      <c r="H445" s="50">
        <v>0</v>
      </c>
      <c r="I445" s="210">
        <v>0</v>
      </c>
      <c r="J445" s="168"/>
      <c r="K445"/>
    </row>
    <row r="446" spans="2:11" ht="12.75">
      <c r="B446" s="13" t="s">
        <v>1</v>
      </c>
      <c r="C446" s="121" t="s">
        <v>21</v>
      </c>
      <c r="D446" s="121"/>
      <c r="E446" s="50">
        <v>0</v>
      </c>
      <c r="F446" s="50">
        <v>0</v>
      </c>
      <c r="G446" s="50">
        <v>0</v>
      </c>
      <c r="H446" s="50">
        <v>0</v>
      </c>
      <c r="I446" s="210">
        <v>0</v>
      </c>
      <c r="J446" s="168"/>
      <c r="K446"/>
    </row>
    <row r="447" spans="2:11" ht="12.75">
      <c r="B447" s="13" t="s">
        <v>10</v>
      </c>
      <c r="C447" s="121" t="s">
        <v>21</v>
      </c>
      <c r="D447" s="121"/>
      <c r="E447" s="50">
        <v>0</v>
      </c>
      <c r="F447" s="50">
        <v>0</v>
      </c>
      <c r="G447" s="50">
        <v>0</v>
      </c>
      <c r="H447" s="50">
        <v>0</v>
      </c>
      <c r="I447" s="210">
        <v>0</v>
      </c>
      <c r="J447" s="168"/>
      <c r="K447"/>
    </row>
    <row r="448" spans="2:11" ht="12.75">
      <c r="B448" s="13" t="s">
        <v>8</v>
      </c>
      <c r="C448" s="121" t="s">
        <v>21</v>
      </c>
      <c r="D448" s="121"/>
      <c r="E448" s="50">
        <v>0</v>
      </c>
      <c r="F448" s="50">
        <v>0.0070820612652312525</v>
      </c>
      <c r="G448" s="50">
        <v>0.0070820612652312525</v>
      </c>
      <c r="H448" s="50">
        <v>0.0070820612652312525</v>
      </c>
      <c r="I448" s="210">
        <v>0.0070820612652312525</v>
      </c>
      <c r="J448" s="168"/>
      <c r="K448"/>
    </row>
    <row r="449" spans="2:11" ht="12.75">
      <c r="B449" s="13" t="s">
        <v>44</v>
      </c>
      <c r="C449" s="121" t="s">
        <v>21</v>
      </c>
      <c r="D449" s="121"/>
      <c r="E449" s="50">
        <v>0</v>
      </c>
      <c r="F449" s="50">
        <v>0</v>
      </c>
      <c r="G449" s="50">
        <v>0</v>
      </c>
      <c r="H449" s="50">
        <v>0</v>
      </c>
      <c r="I449" s="210">
        <v>0</v>
      </c>
      <c r="J449" s="168"/>
      <c r="K449"/>
    </row>
    <row r="450" spans="2:11" ht="12.75">
      <c r="B450" s="13" t="s">
        <v>22</v>
      </c>
      <c r="C450" s="121" t="s">
        <v>21</v>
      </c>
      <c r="D450" s="121"/>
      <c r="E450" s="50">
        <v>0</v>
      </c>
      <c r="F450" s="50">
        <v>0.5848178870832731</v>
      </c>
      <c r="G450" s="50">
        <v>0.5848178870832731</v>
      </c>
      <c r="H450" s="50">
        <v>0.5848178870832731</v>
      </c>
      <c r="I450" s="210">
        <v>0.5848178870832731</v>
      </c>
      <c r="J450" s="168"/>
      <c r="K450"/>
    </row>
    <row r="451" spans="2:11" ht="12.75">
      <c r="B451" s="13" t="s">
        <v>2</v>
      </c>
      <c r="C451" s="121" t="s">
        <v>21</v>
      </c>
      <c r="D451" s="121"/>
      <c r="E451" s="50">
        <v>0</v>
      </c>
      <c r="F451" s="50">
        <v>0.010389472969018517</v>
      </c>
      <c r="G451" s="50">
        <v>0.010389472969018517</v>
      </c>
      <c r="H451" s="50">
        <v>0.010389472969018517</v>
      </c>
      <c r="I451" s="210">
        <v>0.010389472969018517</v>
      </c>
      <c r="J451" s="168"/>
      <c r="K451"/>
    </row>
    <row r="452" spans="2:11" ht="12.75">
      <c r="B452" s="13" t="s">
        <v>31</v>
      </c>
      <c r="C452" s="121" t="s">
        <v>21</v>
      </c>
      <c r="D452" s="121"/>
      <c r="E452" s="50">
        <v>0</v>
      </c>
      <c r="F452" s="50">
        <v>0</v>
      </c>
      <c r="G452" s="50">
        <v>0</v>
      </c>
      <c r="H452" s="50">
        <v>0</v>
      </c>
      <c r="I452" s="210">
        <v>0</v>
      </c>
      <c r="J452" s="168"/>
      <c r="K452"/>
    </row>
    <row r="453" spans="2:11" ht="12.75">
      <c r="B453" s="13" t="s">
        <v>3</v>
      </c>
      <c r="C453" s="121" t="s">
        <v>21</v>
      </c>
      <c r="D453" s="121"/>
      <c r="E453" s="50"/>
      <c r="F453" s="50"/>
      <c r="G453" s="50"/>
      <c r="H453" s="50"/>
      <c r="I453" s="210"/>
      <c r="J453" s="168"/>
      <c r="K453"/>
    </row>
    <row r="454" spans="2:11" ht="12.75">
      <c r="B454" s="36"/>
      <c r="C454" s="121"/>
      <c r="D454" s="121"/>
      <c r="E454" s="53"/>
      <c r="F454" s="53"/>
      <c r="G454" s="53"/>
      <c r="H454" s="53"/>
      <c r="I454" s="220"/>
      <c r="J454" s="168"/>
      <c r="K454"/>
    </row>
    <row r="455" spans="2:11" ht="12.75">
      <c r="B455" s="36"/>
      <c r="C455" s="121" t="s">
        <v>21</v>
      </c>
      <c r="D455" s="121"/>
      <c r="E455" s="57">
        <f>SUM(E442:E454)</f>
        <v>0</v>
      </c>
      <c r="F455" s="57">
        <f>SUM(F442:F454)</f>
        <v>0.6022894213175228</v>
      </c>
      <c r="G455" s="57">
        <f>SUM(G442:G454)</f>
        <v>0.6022894213175228</v>
      </c>
      <c r="H455" s="57">
        <f>SUM(H442:H454)</f>
        <v>0.6022894213175228</v>
      </c>
      <c r="I455" s="210">
        <f>SUM(I442:I454)</f>
        <v>0.6022894213175228</v>
      </c>
      <c r="J455" s="168"/>
      <c r="K455"/>
    </row>
    <row r="456" spans="2:11" ht="12.75">
      <c r="B456" s="36"/>
      <c r="C456" s="121"/>
      <c r="D456" s="121"/>
      <c r="E456" s="57"/>
      <c r="F456" s="57"/>
      <c r="G456" s="57"/>
      <c r="H456" s="57"/>
      <c r="I456" s="210"/>
      <c r="J456" s="168"/>
      <c r="K456"/>
    </row>
    <row r="457" spans="2:10" ht="12.75">
      <c r="B457" s="36"/>
      <c r="C457" s="121"/>
      <c r="D457" s="121"/>
      <c r="E457" s="57"/>
      <c r="F457" s="57"/>
      <c r="G457" s="57"/>
      <c r="H457" s="57"/>
      <c r="I457" s="210"/>
      <c r="J457" s="57"/>
    </row>
    <row r="458" spans="2:10" ht="12.75">
      <c r="B458" s="116"/>
      <c r="C458" s="120"/>
      <c r="D458" s="120"/>
      <c r="E458" s="58"/>
      <c r="F458" s="30"/>
      <c r="G458" s="30"/>
      <c r="H458" s="30"/>
      <c r="I458" s="30"/>
      <c r="J458" s="30"/>
    </row>
  </sheetData>
  <sheetProtection password="CAE4" sheet="1"/>
  <printOptions/>
  <pageMargins left="0.75" right="0.75" top="1" bottom="1" header="0.5" footer="0.5"/>
  <pageSetup fitToHeight="1" fitToWidth="1" horizontalDpi="300" verticalDpi="300" orientation="landscape" paperSize="9" scale="76" r:id="rId1"/>
  <headerFooter alignWithMargins="0">
    <oddFooter>&amp;L&amp;D&amp;T&amp;Z&amp;F&amp;A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4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1" sqref="E11"/>
    </sheetView>
  </sheetViews>
  <sheetFormatPr defaultColWidth="9.33203125" defaultRowHeight="12.75"/>
  <cols>
    <col min="1" max="1" width="1.83203125" style="12" customWidth="1"/>
    <col min="2" max="2" width="55.83203125" style="12" customWidth="1"/>
    <col min="3" max="3" width="12.83203125" style="93" customWidth="1"/>
    <col min="4" max="4" width="5.83203125" style="93" customWidth="1"/>
    <col min="5" max="11" width="15.83203125" style="12" customWidth="1"/>
    <col min="12" max="13" width="15.16015625" style="12" bestFit="1" customWidth="1"/>
    <col min="14" max="16" width="16.33203125" style="12" bestFit="1" customWidth="1"/>
    <col min="17" max="17" width="16.66015625" style="12" bestFit="1" customWidth="1"/>
    <col min="18" max="18" width="16.33203125" style="12" bestFit="1" customWidth="1"/>
    <col min="19" max="16384" width="9.33203125" style="12" customWidth="1"/>
  </cols>
  <sheetData>
    <row r="2" spans="1:17" s="80" customFormat="1" ht="15" customHeight="1">
      <c r="A2" s="77"/>
      <c r="B2" s="157" t="s">
        <v>12</v>
      </c>
      <c r="C2" s="123"/>
      <c r="D2" s="123"/>
      <c r="E2" s="158" t="s">
        <v>23</v>
      </c>
      <c r="F2" s="158" t="s">
        <v>139</v>
      </c>
      <c r="G2" s="158" t="s">
        <v>140</v>
      </c>
      <c r="H2" s="158" t="s">
        <v>24</v>
      </c>
      <c r="I2" s="158" t="s">
        <v>25</v>
      </c>
      <c r="J2" s="158" t="s">
        <v>26</v>
      </c>
      <c r="K2" s="158" t="s">
        <v>27</v>
      </c>
      <c r="M2" s="158"/>
      <c r="N2" s="158"/>
      <c r="O2" s="158"/>
      <c r="P2" s="158"/>
      <c r="Q2" s="158"/>
    </row>
    <row r="3" spans="1:17" s="80" customFormat="1" ht="15" customHeight="1">
      <c r="A3" s="77"/>
      <c r="B3" s="157" t="s">
        <v>11</v>
      </c>
      <c r="C3" s="123"/>
      <c r="D3" s="123"/>
      <c r="E3" s="81" t="s">
        <v>4</v>
      </c>
      <c r="F3" s="81" t="s">
        <v>4</v>
      </c>
      <c r="G3" s="81" t="s">
        <v>4</v>
      </c>
      <c r="H3" s="81" t="s">
        <v>4</v>
      </c>
      <c r="I3" s="81" t="s">
        <v>4</v>
      </c>
      <c r="J3" s="81" t="s">
        <v>4</v>
      </c>
      <c r="K3" s="81" t="s">
        <v>4</v>
      </c>
      <c r="M3" s="81"/>
      <c r="N3" s="81"/>
      <c r="O3" s="81"/>
      <c r="P3" s="81"/>
      <c r="Q3" s="81"/>
    </row>
    <row r="6" spans="2:16" ht="12.75">
      <c r="B6" s="2" t="s">
        <v>41</v>
      </c>
      <c r="E6" s="35">
        <f>(1+'Data Input'!$F$13)^-0.5</f>
        <v>0.9487307357732753</v>
      </c>
      <c r="F6" s="35">
        <v>0</v>
      </c>
      <c r="G6" s="35">
        <v>0</v>
      </c>
      <c r="H6" s="35">
        <f>(1+'Data Input'!$F$13)^-1.5</f>
        <v>0.8539430565015979</v>
      </c>
      <c r="I6" s="35">
        <f>(1+'Data Input'!$F$13)^-2.5</f>
        <v>0.7686256134127792</v>
      </c>
      <c r="J6" s="35">
        <f>(1+'Data Input'!$F$13)^-3.5</f>
        <v>0.6918322352950309</v>
      </c>
      <c r="K6" s="35">
        <f>(1+'Data Input'!$F$13)^-4.5</f>
        <v>0.6227112828938172</v>
      </c>
      <c r="M6" s="25"/>
      <c r="N6" s="25"/>
      <c r="O6" s="25"/>
      <c r="P6" s="25"/>
    </row>
    <row r="7" spans="2:16" ht="12.75">
      <c r="B7" s="2"/>
      <c r="E7" s="31"/>
      <c r="F7" s="31"/>
      <c r="G7" s="31"/>
      <c r="H7" s="31"/>
      <c r="I7" s="31"/>
      <c r="J7" s="31"/>
      <c r="K7" s="31"/>
      <c r="M7" s="25"/>
      <c r="N7" s="25"/>
      <c r="O7" s="25"/>
      <c r="P7" s="25"/>
    </row>
    <row r="8" spans="5:18" ht="12.75">
      <c r="E8" s="50"/>
      <c r="F8" s="50"/>
      <c r="G8" s="50"/>
      <c r="H8" s="50"/>
      <c r="I8" s="50"/>
      <c r="J8" s="50"/>
      <c r="K8" s="50"/>
      <c r="L8" s="50"/>
      <c r="M8" s="31"/>
      <c r="N8" s="31"/>
      <c r="O8" s="31"/>
      <c r="P8" s="31"/>
      <c r="Q8" s="31"/>
      <c r="R8" s="31"/>
    </row>
    <row r="9" spans="2:18" ht="12.75">
      <c r="B9" s="2" t="s">
        <v>58</v>
      </c>
      <c r="E9" s="83"/>
      <c r="F9" s="83"/>
      <c r="G9" s="83"/>
      <c r="H9" s="83"/>
      <c r="I9" s="83"/>
      <c r="J9" s="83"/>
      <c r="K9" s="83"/>
      <c r="L9" s="50"/>
      <c r="M9" s="31"/>
      <c r="N9" s="31"/>
      <c r="O9" s="31"/>
      <c r="P9" s="31"/>
      <c r="Q9" s="31"/>
      <c r="R9" s="31"/>
    </row>
    <row r="10" spans="2:18" ht="12.75">
      <c r="B10" s="27" t="s">
        <v>134</v>
      </c>
      <c r="C10" s="93" t="s">
        <v>21</v>
      </c>
      <c r="E10" s="50">
        <f>'Data Input'!$F$13*(0.5*('Capital base'!E14+'Capital base'!F14)-'Capital base'!F438)*'Data Input'!$F$6/365</f>
        <v>44.03519220512965</v>
      </c>
      <c r="F10" s="50"/>
      <c r="G10" s="50"/>
      <c r="H10" s="50">
        <f>'Data Input'!$F$13*(0.5*('Capital base'!F14+'Capital base'!G14))</f>
        <v>91.94900003258877</v>
      </c>
      <c r="I10" s="50">
        <f>'Data Input'!$F$13*(0.5*('Capital base'!G14+'Capital base'!H14))</f>
        <v>94.16546431782837</v>
      </c>
      <c r="J10" s="50">
        <f>'Data Input'!$F$13*(0.5*('Capital base'!H14+'Capital base'!I14))</f>
        <v>96.67004215069028</v>
      </c>
      <c r="K10" s="50">
        <f>'Data Input'!$F$13*(0.5*('Capital base'!I14+'Capital base'!J14))</f>
        <v>99.0653253101824</v>
      </c>
      <c r="L10" s="50"/>
      <c r="M10" s="31"/>
      <c r="N10" s="31"/>
      <c r="O10" s="31"/>
      <c r="P10" s="31"/>
      <c r="Q10" s="31"/>
      <c r="R10" s="31"/>
    </row>
    <row r="11" spans="2:18" ht="12.75">
      <c r="B11" s="27" t="s">
        <v>135</v>
      </c>
      <c r="C11" s="93" t="s">
        <v>21</v>
      </c>
      <c r="E11" s="50">
        <f>'Data Input'!F88*'Data Input'!$F$13*'Data Input'!F6/365</f>
        <v>0.4274345307935725</v>
      </c>
      <c r="F11" s="50"/>
      <c r="G11" s="50"/>
      <c r="H11" s="50">
        <f>'Data Input'!I88*'Data Input'!$F$13</f>
        <v>1.605262622362927</v>
      </c>
      <c r="I11" s="50">
        <f>'Data Input'!J88*'Data Input'!$F$13</f>
        <v>1.9878981135085305</v>
      </c>
      <c r="J11" s="50">
        <f>'Data Input'!K88*'Data Input'!$F$13</f>
        <v>2.223007111146923</v>
      </c>
      <c r="K11" s="50">
        <f>'Data Input'!L88*'Data Input'!$F$13</f>
        <v>2.4621330327979485</v>
      </c>
      <c r="L11" s="50"/>
      <c r="M11" s="31"/>
      <c r="N11" s="31"/>
      <c r="O11" s="31"/>
      <c r="P11" s="31"/>
      <c r="Q11" s="31"/>
      <c r="R11" s="31"/>
    </row>
    <row r="12" spans="2:18" ht="12.75">
      <c r="B12" s="27" t="s">
        <v>39</v>
      </c>
      <c r="C12" s="93" t="s">
        <v>21</v>
      </c>
      <c r="E12" s="124">
        <f>'Capital base'!E27</f>
        <v>0.3277040613672533</v>
      </c>
      <c r="F12" s="124"/>
      <c r="G12" s="124"/>
      <c r="H12" s="124">
        <f>'Capital base'!F27</f>
        <v>24.349352192486194</v>
      </c>
      <c r="I12" s="124">
        <f>'Capital base'!G27</f>
        <v>26.298700934235725</v>
      </c>
      <c r="J12" s="124">
        <f>'Capital base'!H27</f>
        <v>28.203412360234115</v>
      </c>
      <c r="K12" s="124">
        <f>'Capital base'!I27</f>
        <v>30.123185893172774</v>
      </c>
      <c r="L12" s="50"/>
      <c r="M12" s="31"/>
      <c r="N12" s="31"/>
      <c r="O12" s="31"/>
      <c r="P12" s="31"/>
      <c r="Q12" s="31"/>
      <c r="R12" s="31"/>
    </row>
    <row r="13" spans="2:18" ht="12.75">
      <c r="B13" s="27" t="s">
        <v>57</v>
      </c>
      <c r="C13" s="93" t="s">
        <v>21</v>
      </c>
      <c r="E13" s="124">
        <f>'Data Input'!F85</f>
        <v>2.179190384256631</v>
      </c>
      <c r="F13" s="124"/>
      <c r="G13" s="124"/>
      <c r="H13" s="124">
        <f>'Data Input'!I85</f>
        <v>2.2482700222888568</v>
      </c>
      <c r="I13" s="124">
        <f>'Data Input'!J85</f>
        <v>0.9688352775017584</v>
      </c>
      <c r="J13" s="124">
        <f>'Data Input'!K85</f>
        <v>2.21095915888307</v>
      </c>
      <c r="K13" s="124">
        <f>'Data Input'!L85</f>
        <v>1.3112035194135374</v>
      </c>
      <c r="L13" s="50"/>
      <c r="M13" s="31"/>
      <c r="N13" s="31"/>
      <c r="O13" s="31"/>
      <c r="P13" s="31"/>
      <c r="Q13" s="31"/>
      <c r="R13" s="31"/>
    </row>
    <row r="14" spans="2:18" ht="12.75">
      <c r="B14" s="27" t="s">
        <v>149</v>
      </c>
      <c r="C14" s="93" t="s">
        <v>21</v>
      </c>
      <c r="E14" s="124">
        <f>'Data Input'!F83</f>
        <v>36.41786240949727</v>
      </c>
      <c r="F14" s="124"/>
      <c r="G14" s="124"/>
      <c r="H14" s="124">
        <f>'Data Input'!I83</f>
        <v>59.62050752714498</v>
      </c>
      <c r="I14" s="124">
        <f>'Data Input'!J83</f>
        <v>59.200180589916855</v>
      </c>
      <c r="J14" s="124">
        <f>'Data Input'!K83</f>
        <v>60.181844841074756</v>
      </c>
      <c r="K14" s="124">
        <f>'Data Input'!L83</f>
        <v>60.7273142227138</v>
      </c>
      <c r="L14" s="50"/>
      <c r="M14" s="31"/>
      <c r="N14" s="31"/>
      <c r="O14" s="31"/>
      <c r="P14" s="31"/>
      <c r="Q14" s="31"/>
      <c r="R14" s="31"/>
    </row>
    <row r="15" spans="2:18" ht="12.75">
      <c r="B15" s="26"/>
      <c r="E15" s="125"/>
      <c r="F15" s="125"/>
      <c r="G15" s="125"/>
      <c r="H15" s="125"/>
      <c r="I15" s="125"/>
      <c r="J15" s="125"/>
      <c r="K15" s="125"/>
      <c r="L15" s="50"/>
      <c r="M15" s="31"/>
      <c r="N15" s="31"/>
      <c r="O15" s="31"/>
      <c r="P15" s="31"/>
      <c r="Q15" s="31"/>
      <c r="R15" s="31"/>
    </row>
    <row r="16" spans="2:18" ht="12.75">
      <c r="B16" s="26"/>
      <c r="C16" s="93" t="s">
        <v>21</v>
      </c>
      <c r="E16" s="124">
        <f>SUM(E10:E15)</f>
        <v>83.38738359104437</v>
      </c>
      <c r="F16" s="124"/>
      <c r="G16" s="124"/>
      <c r="H16" s="124">
        <f>SUM(H10:H15)</f>
        <v>179.77239239687174</v>
      </c>
      <c r="I16" s="124">
        <f>SUM(I10:I15)</f>
        <v>182.62107923299124</v>
      </c>
      <c r="J16" s="124">
        <f>SUM(J10:J15)</f>
        <v>189.48926562202914</v>
      </c>
      <c r="K16" s="124">
        <f>SUM(K10:K15)</f>
        <v>193.68916197828048</v>
      </c>
      <c r="L16" s="50"/>
      <c r="M16" s="31"/>
      <c r="N16" s="31"/>
      <c r="O16" s="31"/>
      <c r="P16" s="31"/>
      <c r="Q16" s="31"/>
      <c r="R16" s="31"/>
    </row>
    <row r="17" spans="12:18" ht="12.75">
      <c r="L17" s="50"/>
      <c r="M17" s="31"/>
      <c r="N17" s="31"/>
      <c r="O17" s="31"/>
      <c r="P17" s="31"/>
      <c r="Q17" s="31"/>
      <c r="R17" s="31"/>
    </row>
    <row r="18" spans="2:18" ht="12.75">
      <c r="B18" s="2" t="s">
        <v>90</v>
      </c>
      <c r="C18" s="93" t="s">
        <v>21</v>
      </c>
      <c r="E18" s="50">
        <f>SUMPRODUCT(E6:K6,E16:K16)</f>
        <v>624.7020078119165</v>
      </c>
      <c r="F18" s="50"/>
      <c r="G18" s="50"/>
      <c r="H18" s="50"/>
      <c r="I18" s="50"/>
      <c r="J18" s="50"/>
      <c r="K18" s="50"/>
      <c r="L18" s="50"/>
      <c r="M18" s="31"/>
      <c r="N18" s="31"/>
      <c r="O18" s="31"/>
      <c r="P18" s="31"/>
      <c r="Q18" s="31"/>
      <c r="R18" s="31"/>
    </row>
    <row r="19" spans="2:18" ht="12.75">
      <c r="B19" s="2"/>
      <c r="E19" s="50"/>
      <c r="F19" s="50"/>
      <c r="G19" s="50"/>
      <c r="H19" s="50"/>
      <c r="I19" s="50"/>
      <c r="J19" s="50"/>
      <c r="K19" s="50"/>
      <c r="L19" s="50"/>
      <c r="M19" s="31"/>
      <c r="N19" s="31"/>
      <c r="O19" s="31"/>
      <c r="P19" s="31"/>
      <c r="Q19" s="31"/>
      <c r="R19" s="31"/>
    </row>
    <row r="20" spans="2:18" ht="12.75">
      <c r="B20" s="2" t="s">
        <v>88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5:18" ht="12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ht="12.75">
      <c r="B22" s="27" t="s">
        <v>51</v>
      </c>
      <c r="E22" s="31"/>
      <c r="F22" s="31"/>
      <c r="G22" s="159"/>
      <c r="H22" s="159"/>
      <c r="I22" s="159"/>
      <c r="J22" s="159"/>
      <c r="K22" s="159"/>
      <c r="L22" s="31"/>
      <c r="M22" s="31"/>
      <c r="N22" s="31"/>
      <c r="O22" s="31"/>
      <c r="P22" s="31"/>
      <c r="Q22" s="31"/>
      <c r="R22" s="31"/>
    </row>
    <row r="23" spans="2:18" ht="12.75">
      <c r="B23" s="17" t="s">
        <v>101</v>
      </c>
      <c r="C23" s="94" t="s">
        <v>38</v>
      </c>
      <c r="E23" s="31"/>
      <c r="F23" s="31"/>
      <c r="G23" s="159">
        <f>'Tariff Input'!F16</f>
        <v>46476.23</v>
      </c>
      <c r="H23" s="159"/>
      <c r="I23" s="159">
        <f>'Tariff Input'!H16</f>
        <v>48800.04</v>
      </c>
      <c r="J23" s="159">
        <f>'Tariff Input'!I16</f>
        <v>51240.04</v>
      </c>
      <c r="K23" s="159">
        <f>'Tariff Input'!J16</f>
        <v>53802.04</v>
      </c>
      <c r="L23" s="31"/>
      <c r="M23" s="31"/>
      <c r="N23" s="31"/>
      <c r="O23" s="31"/>
      <c r="P23" s="31"/>
      <c r="Q23" s="31"/>
      <c r="R23" s="31"/>
    </row>
    <row r="24" spans="2:18" ht="12.75">
      <c r="B24" s="17" t="s">
        <v>102</v>
      </c>
      <c r="C24" s="94"/>
      <c r="E24" s="126"/>
      <c r="F24" s="126"/>
      <c r="G24" s="159"/>
      <c r="H24" s="161"/>
      <c r="I24" s="159"/>
      <c r="J24" s="159"/>
      <c r="K24" s="159"/>
      <c r="L24" s="31"/>
      <c r="M24" s="31"/>
      <c r="N24" s="31"/>
      <c r="O24" s="31"/>
      <c r="P24" s="31"/>
      <c r="Q24" s="31"/>
      <c r="R24" s="31"/>
    </row>
    <row r="25" spans="2:18" ht="12.75">
      <c r="B25" s="17" t="s">
        <v>95</v>
      </c>
      <c r="C25" s="94" t="s">
        <v>93</v>
      </c>
      <c r="E25" s="31"/>
      <c r="F25" s="31"/>
      <c r="G25" s="159">
        <f>'Tariff Input'!F18</f>
        <v>182.86</v>
      </c>
      <c r="H25" s="161"/>
      <c r="I25" s="159">
        <f>'Tariff Input'!H18</f>
        <v>192</v>
      </c>
      <c r="J25" s="159">
        <f>'Tariff Input'!I18</f>
        <v>201.6</v>
      </c>
      <c r="K25" s="159">
        <f>'Tariff Input'!J18</f>
        <v>211.68</v>
      </c>
      <c r="L25" s="31"/>
      <c r="M25" s="31"/>
      <c r="N25" s="31"/>
      <c r="O25" s="31"/>
      <c r="P25" s="31"/>
      <c r="Q25" s="31"/>
      <c r="R25" s="31"/>
    </row>
    <row r="26" spans="2:18" ht="12.75">
      <c r="B26" s="17" t="s">
        <v>96</v>
      </c>
      <c r="C26" s="94" t="s">
        <v>93</v>
      </c>
      <c r="E26" s="31"/>
      <c r="F26" s="31"/>
      <c r="G26" s="159">
        <f>'Tariff Input'!F19</f>
        <v>91.43</v>
      </c>
      <c r="H26" s="161"/>
      <c r="I26" s="159">
        <f>'Tariff Input'!H19</f>
        <v>96</v>
      </c>
      <c r="J26" s="159">
        <f>'Tariff Input'!I19</f>
        <v>100.8</v>
      </c>
      <c r="K26" s="159">
        <f>'Tariff Input'!J19</f>
        <v>105.84</v>
      </c>
      <c r="L26" s="31"/>
      <c r="M26" s="31"/>
      <c r="N26" s="31"/>
      <c r="O26" s="31"/>
      <c r="P26" s="31"/>
      <c r="Q26" s="31"/>
      <c r="R26" s="31"/>
    </row>
    <row r="27" spans="2:18" ht="12.75">
      <c r="B27" s="17" t="s">
        <v>103</v>
      </c>
      <c r="C27" s="94"/>
      <c r="E27" s="31"/>
      <c r="F27" s="31"/>
      <c r="G27" s="159"/>
      <c r="H27" s="16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ht="12.75">
      <c r="B28" s="17" t="s">
        <v>95</v>
      </c>
      <c r="C28" s="94" t="s">
        <v>93</v>
      </c>
      <c r="E28" s="35"/>
      <c r="F28" s="31"/>
      <c r="G28" s="163">
        <f>'Tariff Input'!F21</f>
        <v>0.0446</v>
      </c>
      <c r="H28" s="161"/>
      <c r="I28" s="126">
        <f>'Tariff Input'!H21</f>
        <v>0.04683</v>
      </c>
      <c r="J28" s="126">
        <f>'Tariff Input'!I21</f>
        <v>0.04917</v>
      </c>
      <c r="K28" s="126">
        <f>'Tariff Input'!J21</f>
        <v>0.05163</v>
      </c>
      <c r="L28" s="31"/>
      <c r="M28" s="31"/>
      <c r="N28" s="31"/>
      <c r="O28" s="31"/>
      <c r="P28" s="31"/>
      <c r="Q28" s="31"/>
      <c r="R28" s="31"/>
    </row>
    <row r="29" spans="2:18" ht="12.75">
      <c r="B29" s="17" t="s">
        <v>96</v>
      </c>
      <c r="C29" s="94" t="s">
        <v>93</v>
      </c>
      <c r="E29" s="35"/>
      <c r="F29" s="31"/>
      <c r="G29" s="163">
        <f>'Tariff Input'!F22</f>
        <v>0.0223</v>
      </c>
      <c r="H29" s="161"/>
      <c r="I29" s="126">
        <f>'Tariff Input'!H22</f>
        <v>0.02342</v>
      </c>
      <c r="J29" s="126">
        <f>'Tariff Input'!I22</f>
        <v>0.02459</v>
      </c>
      <c r="K29" s="126">
        <f>'Tariff Input'!J22</f>
        <v>0.02582</v>
      </c>
      <c r="L29" s="31"/>
      <c r="M29" s="31"/>
      <c r="N29" s="31"/>
      <c r="O29" s="31"/>
      <c r="P29" s="31"/>
      <c r="Q29" s="31"/>
      <c r="R29" s="31"/>
    </row>
    <row r="30" spans="5:18" ht="12.75">
      <c r="E30" s="31"/>
      <c r="F30" s="31"/>
      <c r="G30" s="31"/>
      <c r="H30" s="16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ht="12.75">
      <c r="B31" s="12" t="s">
        <v>52</v>
      </c>
      <c r="E31" s="31"/>
      <c r="F31" s="31"/>
      <c r="G31" s="31"/>
      <c r="H31" s="16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2.75">
      <c r="B32" s="27" t="s">
        <v>101</v>
      </c>
      <c r="C32" s="93" t="s">
        <v>38</v>
      </c>
      <c r="E32" s="31"/>
      <c r="F32" s="31"/>
      <c r="G32" s="159">
        <f>'Tariff Input'!F25</f>
        <v>34115</v>
      </c>
      <c r="H32" s="159"/>
      <c r="I32" s="159">
        <f>'Tariff Input'!H25</f>
        <v>35820.75</v>
      </c>
      <c r="J32" s="159">
        <f>'Tariff Input'!I25</f>
        <v>37611.79</v>
      </c>
      <c r="K32" s="159">
        <f>'Tariff Input'!J25</f>
        <v>39492.38</v>
      </c>
      <c r="L32" s="31"/>
      <c r="M32" s="31"/>
      <c r="N32" s="31"/>
      <c r="O32" s="31"/>
      <c r="P32" s="31"/>
      <c r="Q32" s="31"/>
      <c r="R32" s="31"/>
    </row>
    <row r="33" spans="2:18" ht="12.75">
      <c r="B33" s="27" t="s">
        <v>103</v>
      </c>
      <c r="C33" s="93" t="s">
        <v>7</v>
      </c>
      <c r="E33" s="126"/>
      <c r="F33" s="126"/>
      <c r="G33" s="126">
        <f>'Tariff Input'!F26</f>
        <v>2.2</v>
      </c>
      <c r="H33" s="161"/>
      <c r="I33" s="126">
        <f>'Tariff Input'!H26</f>
        <v>2.31</v>
      </c>
      <c r="J33" s="126">
        <f>'Tariff Input'!I26</f>
        <v>2.43</v>
      </c>
      <c r="K33" s="126">
        <f>'Tariff Input'!J26</f>
        <v>2.55</v>
      </c>
      <c r="L33" s="31"/>
      <c r="M33" s="31"/>
      <c r="N33" s="31"/>
      <c r="O33" s="31"/>
      <c r="P33" s="31"/>
      <c r="Q33" s="31"/>
      <c r="R33" s="31"/>
    </row>
    <row r="34" spans="5:18" ht="12.75">
      <c r="E34" s="31"/>
      <c r="F34" s="31"/>
      <c r="G34" s="31"/>
      <c r="H34" s="16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ht="12.75">
      <c r="B35" s="12" t="s">
        <v>53</v>
      </c>
      <c r="E35" s="31"/>
      <c r="F35" s="31"/>
      <c r="G35" s="31"/>
      <c r="H35" s="16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ht="12.75">
      <c r="B36" s="27" t="s">
        <v>101</v>
      </c>
      <c r="C36" s="93" t="s">
        <v>38</v>
      </c>
      <c r="E36" s="31"/>
      <c r="F36" s="31"/>
      <c r="G36" s="159">
        <f>'Tariff Input'!F29</f>
        <v>1165.5</v>
      </c>
      <c r="H36" s="159"/>
      <c r="I36" s="159">
        <f>'Tariff Input'!H29</f>
        <v>1223.78</v>
      </c>
      <c r="J36" s="159">
        <f>'Tariff Input'!I29</f>
        <v>1284.97</v>
      </c>
      <c r="K36" s="159">
        <f>'Tariff Input'!J29</f>
        <v>1349.22</v>
      </c>
      <c r="L36" s="31"/>
      <c r="M36" s="31"/>
      <c r="N36" s="31"/>
      <c r="O36" s="31"/>
      <c r="P36" s="31"/>
      <c r="Q36" s="31"/>
      <c r="R36" s="31"/>
    </row>
    <row r="37" spans="2:18" ht="12.75">
      <c r="B37" s="27" t="s">
        <v>103</v>
      </c>
      <c r="C37" s="93" t="s">
        <v>7</v>
      </c>
      <c r="E37" s="126"/>
      <c r="F37" s="126"/>
      <c r="G37" s="126">
        <f>'Tariff Input'!F30</f>
        <v>5.34</v>
      </c>
      <c r="H37" s="161"/>
      <c r="I37" s="126">
        <f>'Tariff Input'!H30</f>
        <v>5.61</v>
      </c>
      <c r="J37" s="126">
        <f>'Tariff Input'!I30</f>
        <v>5.89</v>
      </c>
      <c r="K37" s="126">
        <f>'Tariff Input'!J30</f>
        <v>6.18</v>
      </c>
      <c r="L37" s="31"/>
      <c r="M37" s="31"/>
      <c r="N37" s="31"/>
      <c r="O37" s="31"/>
      <c r="P37" s="31"/>
      <c r="Q37" s="31"/>
      <c r="R37" s="31"/>
    </row>
    <row r="38" spans="5:18" ht="12.75">
      <c r="E38" s="31"/>
      <c r="F38" s="31"/>
      <c r="G38" s="31"/>
      <c r="H38" s="16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8" ht="12.75">
      <c r="B39" s="12" t="s">
        <v>54</v>
      </c>
      <c r="E39" s="31"/>
      <c r="F39" s="31"/>
      <c r="G39" s="31"/>
      <c r="H39" s="16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ht="12.75">
      <c r="B40" s="27" t="s">
        <v>101</v>
      </c>
      <c r="C40" s="93" t="s">
        <v>38</v>
      </c>
      <c r="E40" s="31"/>
      <c r="F40" s="31"/>
      <c r="G40" s="159">
        <f>'Tariff Input'!F33</f>
        <v>270</v>
      </c>
      <c r="H40" s="159"/>
      <c r="I40" s="159">
        <f>'Tariff Input'!H33</f>
        <v>283.5</v>
      </c>
      <c r="J40" s="159">
        <f>'Tariff Input'!I33</f>
        <v>297.68</v>
      </c>
      <c r="K40" s="159">
        <f>'Tariff Input'!J33</f>
        <v>312.56</v>
      </c>
      <c r="L40" s="31"/>
      <c r="M40" s="31"/>
      <c r="N40" s="31"/>
      <c r="O40" s="31"/>
      <c r="P40" s="31"/>
      <c r="Q40" s="31"/>
      <c r="R40" s="31"/>
    </row>
    <row r="41" spans="2:18" ht="12.75">
      <c r="B41" s="27" t="s">
        <v>103</v>
      </c>
      <c r="C41" s="93" t="s">
        <v>7</v>
      </c>
      <c r="E41" s="126"/>
      <c r="F41" s="126"/>
      <c r="G41" s="126">
        <f>'Tariff Input'!F34</f>
        <v>7</v>
      </c>
      <c r="H41" s="161"/>
      <c r="I41" s="126">
        <f>'Tariff Input'!H34</f>
        <v>7.35</v>
      </c>
      <c r="J41" s="126">
        <f>'Tariff Input'!I34</f>
        <v>7.72</v>
      </c>
      <c r="K41" s="126">
        <f>'Tariff Input'!J34</f>
        <v>8.11</v>
      </c>
      <c r="L41" s="31"/>
      <c r="M41" s="31"/>
      <c r="N41" s="31"/>
      <c r="O41" s="31"/>
      <c r="P41" s="31"/>
      <c r="Q41" s="31"/>
      <c r="R41" s="31"/>
    </row>
    <row r="42" spans="5:18" ht="12.75">
      <c r="E42" s="31"/>
      <c r="F42" s="31"/>
      <c r="G42" s="31"/>
      <c r="H42" s="16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ht="12.75">
      <c r="B43" s="12" t="s">
        <v>55</v>
      </c>
      <c r="E43" s="31"/>
      <c r="F43" s="31"/>
      <c r="G43" s="31"/>
      <c r="H43" s="16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2.75">
      <c r="B44" s="27" t="s">
        <v>101</v>
      </c>
      <c r="C44" s="93" t="s">
        <v>38</v>
      </c>
      <c r="E44" s="31"/>
      <c r="F44" s="31"/>
      <c r="G44" s="159">
        <f>'Tariff Input'!F37</f>
        <v>70</v>
      </c>
      <c r="H44" s="159"/>
      <c r="I44" s="159">
        <f>'Tariff Input'!H37</f>
        <v>72.8</v>
      </c>
      <c r="J44" s="159">
        <f>'Tariff Input'!I37</f>
        <v>77.9</v>
      </c>
      <c r="K44" s="159">
        <f>'Tariff Input'!J37</f>
        <v>83.35</v>
      </c>
      <c r="L44" s="31"/>
      <c r="M44" s="31"/>
      <c r="N44" s="31"/>
      <c r="O44" s="31"/>
      <c r="P44" s="31"/>
      <c r="Q44" s="31"/>
      <c r="R44" s="31"/>
    </row>
    <row r="45" spans="2:18" ht="12.75">
      <c r="B45" s="27" t="s">
        <v>103</v>
      </c>
      <c r="C45" s="93" t="s">
        <v>7</v>
      </c>
      <c r="E45" s="126"/>
      <c r="F45" s="126"/>
      <c r="G45" s="126">
        <f>'Tariff Input'!F38</f>
        <v>9.5</v>
      </c>
      <c r="H45" s="161"/>
      <c r="I45" s="126">
        <f>'Tariff Input'!H38</f>
        <v>9.88</v>
      </c>
      <c r="J45" s="126">
        <f>'Tariff Input'!I38</f>
        <v>10.57</v>
      </c>
      <c r="K45" s="126">
        <f>'Tariff Input'!J38</f>
        <v>11.31</v>
      </c>
      <c r="L45" s="31"/>
      <c r="M45" s="31"/>
      <c r="N45" s="31"/>
      <c r="O45" s="31"/>
      <c r="P45" s="31"/>
      <c r="Q45" s="31"/>
      <c r="R45" s="31"/>
    </row>
    <row r="46" spans="5:18" ht="12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2.75">
      <c r="B47" s="2" t="s">
        <v>89</v>
      </c>
      <c r="L47" s="31"/>
      <c r="M47" s="31"/>
      <c r="N47" s="31"/>
      <c r="O47" s="31"/>
      <c r="P47" s="31"/>
      <c r="Q47" s="31"/>
      <c r="R47" s="31"/>
    </row>
    <row r="48" spans="5:18" ht="12.75">
      <c r="E48" s="44"/>
      <c r="F48" s="44"/>
      <c r="G48" s="44"/>
      <c r="L48" s="31"/>
      <c r="M48" s="31"/>
      <c r="N48" s="31"/>
      <c r="O48" s="31"/>
      <c r="P48" s="31"/>
      <c r="Q48" s="31"/>
      <c r="R48" s="31"/>
    </row>
    <row r="49" spans="2:18" ht="12.75">
      <c r="B49" s="27" t="s">
        <v>33</v>
      </c>
      <c r="C49" s="93" t="s">
        <v>21</v>
      </c>
      <c r="E49" s="144">
        <f>(181/365*'Data Input'!$E115*'Data Input'!F27+'Data Input'!$E117*'Data Input'!F152+'Data Input'!$E118*'Data Input'!F153+'Data Input'!$E119*'Data Input'!F155*1000+'Data Input'!$E120*'Data Input'!F156*1000)/1000000</f>
        <v>2.768748193545041</v>
      </c>
      <c r="F49" s="144">
        <f>(184/365*'Data Input'!$E115*'Data Input'!G27+'Data Input'!$E117*'Data Input'!G152+'Data Input'!$E118*'Data Input'!G153+'Data Input'!$E119*'Data Input'!G155*1000+'Data Input'!$E120*'Data Input'!G156*1000)/1000000</f>
        <v>3.1825410180406464</v>
      </c>
      <c r="G49" s="50">
        <f>(181/365*G$23*'Data Input'!H27+SUMPRODUCT(G25:G26,'Data Input'!H152:H153)+SUMPRODUCT(G28:G29,'Data Input'!H155:H156)*1000)/1000000</f>
        <v>3.179597933162312</v>
      </c>
      <c r="H49" s="50">
        <f>F49+G49</f>
        <v>6.362138951202958</v>
      </c>
      <c r="I49" s="50">
        <f>(I$23*'Data Input'!J27+SUMPRODUCT(I25:I26,'Data Input'!J152:J153)+SUMPRODUCT(I28:I29,'Data Input'!J155:J156)*1000)/1000000</f>
        <v>7.008674989092464</v>
      </c>
      <c r="J49" s="50">
        <f>(J$23*'Data Input'!K27+SUMPRODUCT(J25:J26,'Data Input'!K152:K153)+SUMPRODUCT(J28:J29,'Data Input'!K155:K156)*1000)/1000000</f>
        <v>7.512294083565662</v>
      </c>
      <c r="K49" s="50">
        <f>(K$23*'Data Input'!L27+SUMPRODUCT(K25:K26,'Data Input'!L152:L153)+SUMPRODUCT(K28:K29,'Data Input'!L155:L156)*1000)/1000000</f>
        <v>7.924159466050666</v>
      </c>
      <c r="L49" s="31"/>
      <c r="M49" s="31"/>
      <c r="N49" s="31"/>
      <c r="O49" s="31"/>
      <c r="P49" s="31"/>
      <c r="Q49" s="31"/>
      <c r="R49" s="31"/>
    </row>
    <row r="50" spans="2:18" ht="12.75">
      <c r="B50" s="27" t="s">
        <v>34</v>
      </c>
      <c r="C50" s="93" t="s">
        <v>21</v>
      </c>
      <c r="E50" s="144">
        <f>(181/365*'Data Input'!$E123*'Data Input'!F28+'Data Input'!$E125*'Data Input'!F160+'Data Input'!$E126*'Data Input'!F161+'Data Input'!$E127*'Data Input'!F162)/1000000</f>
        <v>2.6077601825386827</v>
      </c>
      <c r="F50" s="144">
        <f>(184/365*'Data Input'!$E123*'Data Input'!G28+'Data Input'!$E125*'Data Input'!G160+'Data Input'!$E126*'Data Input'!G161+'Data Input'!$E127*'Data Input'!G162)/1000000</f>
        <v>2.7593982249664375</v>
      </c>
      <c r="G50" s="50">
        <f>(181/365*G$32*'Data Input'!H28+G$33*'Data Input'!H39*1000)/1000000</f>
        <v>3.574098149550569</v>
      </c>
      <c r="H50" s="50">
        <f>F50+G50</f>
        <v>6.333496374517006</v>
      </c>
      <c r="I50" s="50">
        <f>(I$32*'Data Input'!J28+I$33*'Data Input'!J39*1000)/1000000</f>
        <v>7.817500234169927</v>
      </c>
      <c r="J50" s="50">
        <f>(J$32*'Data Input'!K28+J$33*'Data Input'!K39*1000)/1000000</f>
        <v>8.454580359895491</v>
      </c>
      <c r="K50" s="50">
        <f>(K$32*'Data Input'!L28+K$33*'Data Input'!L39*1000)/1000000</f>
        <v>9.106438679932719</v>
      </c>
      <c r="L50" s="31"/>
      <c r="M50" s="31"/>
      <c r="N50" s="31"/>
      <c r="O50" s="31"/>
      <c r="P50" s="31"/>
      <c r="Q50" s="31"/>
      <c r="R50" s="31"/>
    </row>
    <row r="51" spans="2:18" ht="12.75">
      <c r="B51" s="27" t="s">
        <v>36</v>
      </c>
      <c r="C51" s="93" t="s">
        <v>21</v>
      </c>
      <c r="E51" s="144">
        <f>(181/365*'Data Input'!$E130*'Data Input'!F29+'Data Input'!$E132*'Data Input'!F166+'Data Input'!$E133*'Data Input'!F167)/1000000</f>
        <v>4.017820158528185</v>
      </c>
      <c r="F51" s="144">
        <f>(184/365*'Data Input'!$E130*'Data Input'!G29+'Data Input'!$E132*'Data Input'!G166+'Data Input'!$E133*'Data Input'!G167)/1000000</f>
        <v>4.721702135973913</v>
      </c>
      <c r="G51" s="50">
        <f>(181/365*G$36*'Data Input'!H29+G$37*'Data Input'!H40*1000)/1000000</f>
        <v>4.861209306854962</v>
      </c>
      <c r="H51" s="50">
        <f>F51+G51</f>
        <v>9.582911442828875</v>
      </c>
      <c r="I51" s="50">
        <f>(I$36*'Data Input'!J29+I$37*'Data Input'!J40*1000)/1000000</f>
        <v>11.047033313277367</v>
      </c>
      <c r="J51" s="50">
        <f>(J$36*'Data Input'!K29+J$37*'Data Input'!K40*1000)/1000000</f>
        <v>12.109817785291229</v>
      </c>
      <c r="K51" s="50">
        <f>(K$36*'Data Input'!L29+K$37*'Data Input'!L40*1000)/1000000</f>
        <v>13.235352284318969</v>
      </c>
      <c r="L51" s="31"/>
      <c r="M51" s="31"/>
      <c r="N51" s="31"/>
      <c r="O51" s="31"/>
      <c r="P51" s="31"/>
      <c r="Q51" s="31"/>
      <c r="R51" s="31"/>
    </row>
    <row r="52" spans="2:18" ht="12.75">
      <c r="B52" s="27" t="s">
        <v>37</v>
      </c>
      <c r="C52" s="93" t="s">
        <v>21</v>
      </c>
      <c r="E52" s="144">
        <f>(181/365*'Data Input'!$E136*'Data Input'!F30+'Data Input'!$E138*'Data Input'!F171+'Data Input'!$E139*'Data Input'!F172)/1000000</f>
        <v>3.666961440355109</v>
      </c>
      <c r="F52" s="144">
        <f>(184/365*'Data Input'!$E136*'Data Input'!G30+'Data Input'!$E138*'Data Input'!G171+'Data Input'!$E139*'Data Input'!G172)/1000000</f>
        <v>4.0314645258301605</v>
      </c>
      <c r="G52" s="50">
        <f>(181/365*G$40*'Data Input'!H30+G$41*'Data Input'!H41*1000)/1000000</f>
        <v>4.941080426884727</v>
      </c>
      <c r="H52" s="50">
        <f>F52+G52</f>
        <v>8.972544952714888</v>
      </c>
      <c r="I52" s="50">
        <f>(I$40*'Data Input'!J30+I$41*'Data Input'!J41*1000)/1000000</f>
        <v>10.83174427339609</v>
      </c>
      <c r="J52" s="50">
        <f>(J$40*'Data Input'!K30+J$41*'Data Input'!K41*1000)/1000000</f>
        <v>11.780116395878983</v>
      </c>
      <c r="K52" s="50">
        <f>(K$40*'Data Input'!L30+K$41*'Data Input'!L41*1000)/1000000</f>
        <v>12.853901415579672</v>
      </c>
      <c r="L52" s="31"/>
      <c r="M52" s="31"/>
      <c r="N52" s="31"/>
      <c r="O52" s="31"/>
      <c r="P52" s="31"/>
      <c r="Q52" s="31"/>
      <c r="R52" s="31"/>
    </row>
    <row r="53" spans="2:18" ht="12.75">
      <c r="B53" s="27" t="s">
        <v>35</v>
      </c>
      <c r="C53" s="93" t="s">
        <v>21</v>
      </c>
      <c r="E53" s="144">
        <f>(181/365*'Data Input'!$E142*'Data Input'!F31+'Data Input'!$E144*'Data Input'!F176+'Data Input'!$E145*'Data Input'!F177+'Data Input'!$E146*'Data Input'!F178)/1000000</f>
        <v>45.892630325332725</v>
      </c>
      <c r="F53" s="144">
        <f>(184/365*'Data Input'!$E142*'Data Input'!G31+'Data Input'!$E144*'Data Input'!G176+'Data Input'!$E145*'Data Input'!G177+'Data Input'!$E146*'Data Input'!G178)/1000000</f>
        <v>56.027743589064855</v>
      </c>
      <c r="G53" s="50">
        <f>(181/365*G$44*'Data Input'!H31+G$45*'Data Input'!H42*1000)/1000000</f>
        <v>63.8617867055377</v>
      </c>
      <c r="H53" s="50">
        <f>F53+G53</f>
        <v>119.88953029460257</v>
      </c>
      <c r="I53" s="50">
        <f>(I$44*'Data Input'!J31+I$45*'Data Input'!J42*1000)/1000000</f>
        <v>151.54925193903557</v>
      </c>
      <c r="J53" s="50">
        <f>(J$44*'Data Input'!K31+J$45*'Data Input'!K42*1000)/1000000</f>
        <v>166.38790970957618</v>
      </c>
      <c r="K53" s="50">
        <f>(K$44*'Data Input'!L31+K$45*'Data Input'!L42*1000)/1000000</f>
        <v>183.05712628047348</v>
      </c>
      <c r="L53" s="31"/>
      <c r="M53" s="31"/>
      <c r="N53" s="31"/>
      <c r="O53" s="31"/>
      <c r="P53" s="31"/>
      <c r="Q53" s="31"/>
      <c r="R53" s="31"/>
    </row>
    <row r="54" spans="5:18" ht="12.75">
      <c r="E54" s="56"/>
      <c r="F54" s="56"/>
      <c r="G54" s="56"/>
      <c r="H54" s="53"/>
      <c r="I54" s="53"/>
      <c r="J54" s="53"/>
      <c r="K54" s="53"/>
      <c r="L54" s="31"/>
      <c r="M54" s="31"/>
      <c r="N54" s="31"/>
      <c r="O54" s="31"/>
      <c r="P54" s="31"/>
      <c r="Q54" s="31"/>
      <c r="R54" s="31"/>
    </row>
    <row r="55" spans="3:18" ht="12.75">
      <c r="C55" s="93" t="s">
        <v>21</v>
      </c>
      <c r="E55" s="144">
        <f>SUM(E49:E54)</f>
        <v>58.95392030029974</v>
      </c>
      <c r="F55" s="144">
        <f>SUM(F49:F54)</f>
        <v>70.72284949387601</v>
      </c>
      <c r="G55" s="144">
        <f>SUM(G49:G54)</f>
        <v>80.41777252199027</v>
      </c>
      <c r="H55" s="50">
        <f>SUM(H48:H54)</f>
        <v>151.14062201586628</v>
      </c>
      <c r="I55" s="50">
        <f>SUM(I48:I54)</f>
        <v>188.2542047489714</v>
      </c>
      <c r="J55" s="50">
        <f>SUM(J48:J54)</f>
        <v>206.24471833420753</v>
      </c>
      <c r="K55" s="50">
        <f>SUM(K48:K54)</f>
        <v>226.1769781263555</v>
      </c>
      <c r="L55" s="31"/>
      <c r="M55" s="31"/>
      <c r="N55" s="31"/>
      <c r="O55" s="31"/>
      <c r="P55" s="31"/>
      <c r="Q55" s="31"/>
      <c r="R55" s="31"/>
    </row>
    <row r="56" spans="5:18" ht="12.75">
      <c r="E56" s="50"/>
      <c r="F56" s="50"/>
      <c r="G56" s="50"/>
      <c r="H56" s="50"/>
      <c r="I56" s="50"/>
      <c r="J56" s="50"/>
      <c r="K56" s="50"/>
      <c r="L56" s="31"/>
      <c r="M56" s="31"/>
      <c r="N56" s="31"/>
      <c r="O56" s="31"/>
      <c r="P56" s="31"/>
      <c r="Q56" s="31"/>
      <c r="R56" s="31"/>
    </row>
    <row r="57" spans="2:18" ht="12.75">
      <c r="B57" s="2" t="s">
        <v>131</v>
      </c>
      <c r="E57" s="50"/>
      <c r="F57" s="50"/>
      <c r="G57" s="50"/>
      <c r="H57" s="50"/>
      <c r="I57" s="50"/>
      <c r="J57" s="50"/>
      <c r="K57" s="50"/>
      <c r="L57" s="31"/>
      <c r="M57" s="31"/>
      <c r="N57" s="31"/>
      <c r="O57" s="31"/>
      <c r="P57" s="31"/>
      <c r="Q57" s="31"/>
      <c r="R57" s="31"/>
    </row>
    <row r="58" spans="2:18" ht="12.75">
      <c r="B58" s="2"/>
      <c r="E58" s="50"/>
      <c r="F58" s="50"/>
      <c r="G58" s="50"/>
      <c r="H58" s="50"/>
      <c r="I58" s="50"/>
      <c r="J58" s="50"/>
      <c r="K58" s="50"/>
      <c r="L58" s="31"/>
      <c r="M58" s="31"/>
      <c r="N58" s="31"/>
      <c r="O58" s="31"/>
      <c r="P58" s="31"/>
      <c r="Q58" s="31"/>
      <c r="R58" s="31"/>
    </row>
    <row r="59" spans="2:18" ht="12.75">
      <c r="B59" s="27" t="s">
        <v>33</v>
      </c>
      <c r="C59" s="93" t="s">
        <v>21</v>
      </c>
      <c r="E59" s="50">
        <f>SUMPRODUCT($E$6:$K$6,E49:K49)</f>
        <v>23.578458720399503</v>
      </c>
      <c r="F59" s="50"/>
      <c r="G59" s="50"/>
      <c r="H59" s="50"/>
      <c r="I59" s="50"/>
      <c r="J59" s="50"/>
      <c r="K59" s="50"/>
      <c r="L59" s="31"/>
      <c r="M59" s="31"/>
      <c r="N59" s="31"/>
      <c r="O59" s="31"/>
      <c r="P59" s="31"/>
      <c r="Q59" s="31"/>
      <c r="R59" s="31"/>
    </row>
    <row r="60" spans="2:18" ht="12.75">
      <c r="B60" s="27" t="s">
        <v>34</v>
      </c>
      <c r="C60" s="93" t="s">
        <v>21</v>
      </c>
      <c r="E60" s="50">
        <f>SUMPRODUCT($E$6:$K$6,E50:K50)</f>
        <v>25.411071743783168</v>
      </c>
      <c r="F60" s="50"/>
      <c r="G60" s="50"/>
      <c r="H60" s="50"/>
      <c r="I60" s="50"/>
      <c r="J60" s="50"/>
      <c r="K60" s="50"/>
      <c r="L60" s="31"/>
      <c r="M60" s="31"/>
      <c r="N60" s="31"/>
      <c r="O60" s="31"/>
      <c r="P60" s="31"/>
      <c r="Q60" s="31"/>
      <c r="R60" s="31"/>
    </row>
    <row r="61" spans="2:18" ht="12.75">
      <c r="B61" s="27" t="s">
        <v>36</v>
      </c>
      <c r="C61" s="93" t="s">
        <v>21</v>
      </c>
      <c r="E61" s="50">
        <f>SUMPRODUCT($E$6:$K$6,E51:K51)</f>
        <v>37.105888427621224</v>
      </c>
      <c r="F61" s="50"/>
      <c r="G61" s="50"/>
      <c r="H61" s="50"/>
      <c r="I61" s="50"/>
      <c r="J61" s="50"/>
      <c r="K61" s="50"/>
      <c r="L61" s="31"/>
      <c r="M61" s="31"/>
      <c r="N61" s="31"/>
      <c r="O61" s="31"/>
      <c r="P61" s="31"/>
      <c r="Q61" s="31"/>
      <c r="R61" s="31"/>
    </row>
    <row r="62" spans="2:18" ht="12.75">
      <c r="B62" s="27" t="s">
        <v>37</v>
      </c>
      <c r="C62" s="93" t="s">
        <v>21</v>
      </c>
      <c r="E62" s="50">
        <f>SUMPRODUCT($E$6:$K$6,E52:K52)</f>
        <v>35.620691272231966</v>
      </c>
      <c r="F62" s="50"/>
      <c r="G62" s="50"/>
      <c r="H62" s="50"/>
      <c r="I62" s="50"/>
      <c r="J62" s="50"/>
      <c r="K62" s="50"/>
      <c r="L62" s="31"/>
      <c r="M62" s="31"/>
      <c r="N62" s="31"/>
      <c r="O62" s="31"/>
      <c r="P62" s="31"/>
      <c r="Q62" s="31"/>
      <c r="R62" s="31"/>
    </row>
    <row r="63" spans="2:18" ht="12.75">
      <c r="B63" s="27" t="s">
        <v>35</v>
      </c>
      <c r="C63" s="93" t="s">
        <v>21</v>
      </c>
      <c r="E63" s="50">
        <f>SUMPRODUCT($E$6:$K$6,E53:K53)</f>
        <v>491.5074750607397</v>
      </c>
      <c r="F63" s="50"/>
      <c r="G63" s="50"/>
      <c r="H63" s="50"/>
      <c r="I63" s="50"/>
      <c r="J63" s="50"/>
      <c r="K63" s="50"/>
      <c r="L63" s="31"/>
      <c r="M63" s="31"/>
      <c r="N63" s="31"/>
      <c r="O63" s="31"/>
      <c r="P63" s="31"/>
      <c r="Q63" s="31"/>
      <c r="R63" s="31"/>
    </row>
    <row r="64" spans="5:18" ht="12.75">
      <c r="E64" s="53"/>
      <c r="F64" s="57"/>
      <c r="G64" s="57"/>
      <c r="H64" s="50"/>
      <c r="I64" s="50"/>
      <c r="J64" s="50"/>
      <c r="K64" s="50"/>
      <c r="L64" s="31"/>
      <c r="M64" s="31"/>
      <c r="N64" s="31"/>
      <c r="O64" s="31"/>
      <c r="P64" s="31"/>
      <c r="Q64" s="31"/>
      <c r="R64" s="31"/>
    </row>
    <row r="65" spans="3:18" ht="12.75">
      <c r="C65" s="93" t="s">
        <v>21</v>
      </c>
      <c r="E65" s="50">
        <f>SUMPRODUCT($E$6:$K$6,E55:K55)</f>
        <v>613.2235852247755</v>
      </c>
      <c r="F65" s="50"/>
      <c r="G65" s="50"/>
      <c r="H65" s="50"/>
      <c r="I65" s="50"/>
      <c r="J65" s="50"/>
      <c r="K65" s="50"/>
      <c r="L65" s="31"/>
      <c r="M65" s="31"/>
      <c r="N65" s="31"/>
      <c r="O65" s="31"/>
      <c r="P65" s="31"/>
      <c r="Q65" s="31"/>
      <c r="R65" s="31"/>
    </row>
    <row r="66" spans="3:18" ht="12.75">
      <c r="C66" s="12"/>
      <c r="E66" s="50"/>
      <c r="F66" s="50"/>
      <c r="G66" s="50"/>
      <c r="H66" s="50"/>
      <c r="I66" s="50"/>
      <c r="J66" s="50"/>
      <c r="K66" s="50"/>
      <c r="L66" s="31"/>
      <c r="M66" s="31"/>
      <c r="N66" s="31"/>
      <c r="O66" s="31"/>
      <c r="P66" s="31"/>
      <c r="Q66" s="31"/>
      <c r="R66" s="31"/>
    </row>
    <row r="67" spans="2:18" ht="12.75">
      <c r="B67" s="2" t="s">
        <v>92</v>
      </c>
      <c r="C67" s="12"/>
      <c r="E67" s="50"/>
      <c r="F67" s="50"/>
      <c r="G67" s="50"/>
      <c r="H67" s="142"/>
      <c r="I67" s="50"/>
      <c r="J67" s="50"/>
      <c r="K67" s="50"/>
      <c r="L67" s="31"/>
      <c r="M67" s="31"/>
      <c r="N67" s="31"/>
      <c r="O67" s="31"/>
      <c r="P67" s="31"/>
      <c r="Q67" s="31"/>
      <c r="R67" s="31"/>
    </row>
    <row r="68" spans="2:18" ht="12.75">
      <c r="B68" s="2"/>
      <c r="C68" s="12"/>
      <c r="E68" s="50"/>
      <c r="F68" s="50"/>
      <c r="G68" s="50"/>
      <c r="H68" s="142" t="s">
        <v>132</v>
      </c>
      <c r="I68" s="50"/>
      <c r="J68" s="50"/>
      <c r="K68" s="50"/>
      <c r="L68" s="31"/>
      <c r="M68" s="31"/>
      <c r="N68" s="31"/>
      <c r="O68" s="31"/>
      <c r="P68" s="31"/>
      <c r="Q68" s="31"/>
      <c r="R68" s="31"/>
    </row>
    <row r="69" spans="2:18" ht="12.75">
      <c r="B69" s="27" t="s">
        <v>33</v>
      </c>
      <c r="C69" s="93" t="s">
        <v>21</v>
      </c>
      <c r="E69" s="50">
        <f>SUMPRODUCT($E$6:$K$6,'Data Input'!$F93:$L93)</f>
        <v>5.107483540514556</v>
      </c>
      <c r="F69" s="50"/>
      <c r="G69" s="50"/>
      <c r="H69" s="142" t="str">
        <f>IF(E69&lt;E59,"Complies","Breach - Reset Tariffs")</f>
        <v>Complies</v>
      </c>
      <c r="I69" s="50"/>
      <c r="J69" s="50"/>
      <c r="K69" s="50"/>
      <c r="L69" s="31"/>
      <c r="M69" s="31"/>
      <c r="N69" s="31"/>
      <c r="O69" s="31"/>
      <c r="P69" s="31"/>
      <c r="Q69" s="31"/>
      <c r="R69" s="31"/>
    </row>
    <row r="70" spans="2:18" ht="12.75">
      <c r="B70" s="27" t="s">
        <v>34</v>
      </c>
      <c r="C70" s="93" t="s">
        <v>21</v>
      </c>
      <c r="E70" s="50">
        <f>SUMPRODUCT($E$6:$K$6,'Data Input'!$F94:$L94)</f>
        <v>1.6866147455046725</v>
      </c>
      <c r="F70" s="50"/>
      <c r="G70" s="50"/>
      <c r="H70" s="142" t="str">
        <f>IF(E70&lt;E60,"Complies","Breach - Reset Tariffs")</f>
        <v>Complies</v>
      </c>
      <c r="I70" s="50"/>
      <c r="J70" s="50"/>
      <c r="K70" s="50"/>
      <c r="L70" s="31"/>
      <c r="M70" s="31"/>
      <c r="N70" s="31"/>
      <c r="O70" s="31"/>
      <c r="P70" s="31"/>
      <c r="Q70" s="31"/>
      <c r="R70" s="31"/>
    </row>
    <row r="71" spans="2:18" ht="12.75">
      <c r="B71" s="27" t="s">
        <v>36</v>
      </c>
      <c r="C71" s="93" t="s">
        <v>21</v>
      </c>
      <c r="E71" s="50">
        <f>SUMPRODUCT($E$6:$K$6,'Data Input'!$F95:$L95)</f>
        <v>3.670442513944054</v>
      </c>
      <c r="F71" s="50"/>
      <c r="G71" s="50"/>
      <c r="H71" s="142" t="str">
        <f>IF(E71&lt;E61,"Complies","Breach - Reset Tariffs")</f>
        <v>Complies</v>
      </c>
      <c r="I71" s="50"/>
      <c r="J71" s="50"/>
      <c r="K71" s="50"/>
      <c r="L71" s="31"/>
      <c r="M71" s="31"/>
      <c r="N71" s="31"/>
      <c r="O71" s="31"/>
      <c r="P71" s="31"/>
      <c r="Q71" s="31"/>
      <c r="R71" s="31"/>
    </row>
    <row r="72" spans="2:18" ht="12.75">
      <c r="B72" s="27" t="s">
        <v>37</v>
      </c>
      <c r="C72" s="93" t="s">
        <v>21</v>
      </c>
      <c r="E72" s="50">
        <f>SUMPRODUCT($E$6:$K$6,'Data Input'!$F96:$L96)</f>
        <v>3.1558904503178917</v>
      </c>
      <c r="F72" s="50"/>
      <c r="G72" s="50"/>
      <c r="H72" s="142" t="str">
        <f>IF(E72&lt;E62,"Complies","Breach - Reset Tariffs")</f>
        <v>Complies</v>
      </c>
      <c r="I72" s="50"/>
      <c r="J72" s="50"/>
      <c r="K72" s="50"/>
      <c r="L72" s="31"/>
      <c r="M72" s="31"/>
      <c r="N72" s="31"/>
      <c r="O72" s="31"/>
      <c r="P72" s="31"/>
      <c r="Q72" s="31"/>
      <c r="R72" s="31"/>
    </row>
    <row r="73" spans="2:18" ht="12.75">
      <c r="B73" s="27" t="s">
        <v>35</v>
      </c>
      <c r="C73" s="93" t="s">
        <v>21</v>
      </c>
      <c r="E73" s="50">
        <f>SUMPRODUCT($E$6:$K$6,'Data Input'!$F97:$L97)</f>
        <v>58.066746488156895</v>
      </c>
      <c r="F73" s="50"/>
      <c r="G73" s="50"/>
      <c r="H73" s="142" t="str">
        <f>IF(E73&lt;E63,"Complies","Breach - Reset Tariffs")</f>
        <v>Complies</v>
      </c>
      <c r="I73" s="50"/>
      <c r="J73" s="50"/>
      <c r="K73" s="50"/>
      <c r="L73" s="31"/>
      <c r="M73" s="31"/>
      <c r="N73" s="31"/>
      <c r="O73" s="31"/>
      <c r="P73" s="31"/>
      <c r="Q73" s="31"/>
      <c r="R73" s="31"/>
    </row>
    <row r="74" spans="5:18" ht="12.75">
      <c r="E74" s="53"/>
      <c r="F74" s="57"/>
      <c r="G74" s="57"/>
      <c r="H74" s="142"/>
      <c r="I74" s="50"/>
      <c r="J74" s="50"/>
      <c r="K74" s="50"/>
      <c r="L74" s="31"/>
      <c r="M74" s="31"/>
      <c r="N74" s="31"/>
      <c r="O74" s="31"/>
      <c r="P74" s="31"/>
      <c r="Q74" s="31"/>
      <c r="R74" s="31"/>
    </row>
    <row r="75" spans="5:18" ht="12.75">
      <c r="E75" s="50"/>
      <c r="F75" s="50"/>
      <c r="G75" s="50"/>
      <c r="H75" s="142"/>
      <c r="I75" s="50"/>
      <c r="J75" s="50"/>
      <c r="K75" s="50"/>
      <c r="L75" s="31"/>
      <c r="M75" s="31"/>
      <c r="N75" s="31"/>
      <c r="O75" s="31"/>
      <c r="P75" s="31"/>
      <c r="Q75" s="31"/>
      <c r="R75" s="31"/>
    </row>
    <row r="76" spans="2:18" ht="12.75">
      <c r="B76" s="2" t="s">
        <v>91</v>
      </c>
      <c r="E76" s="50"/>
      <c r="F76" s="50"/>
      <c r="G76" s="50"/>
      <c r="H76" s="142"/>
      <c r="I76" s="50"/>
      <c r="J76" s="50"/>
      <c r="K76" s="50"/>
      <c r="L76" s="31"/>
      <c r="M76" s="31"/>
      <c r="N76" s="31"/>
      <c r="O76" s="31"/>
      <c r="P76" s="31"/>
      <c r="Q76" s="31"/>
      <c r="R76" s="31"/>
    </row>
    <row r="77" spans="5:18" ht="12.75">
      <c r="E77" s="50"/>
      <c r="F77" s="50"/>
      <c r="G77" s="50"/>
      <c r="H77" s="142" t="s">
        <v>133</v>
      </c>
      <c r="I77" s="50"/>
      <c r="J77" s="50"/>
      <c r="K77" s="50"/>
      <c r="L77" s="31"/>
      <c r="M77" s="31"/>
      <c r="N77" s="31"/>
      <c r="O77" s="31"/>
      <c r="P77" s="31"/>
      <c r="Q77" s="31"/>
      <c r="R77" s="31"/>
    </row>
    <row r="78" spans="2:18" ht="12.75">
      <c r="B78" s="27" t="s">
        <v>33</v>
      </c>
      <c r="C78" s="93" t="s">
        <v>21</v>
      </c>
      <c r="E78" s="50">
        <f>SUMPRODUCT($E$6:$K$6,'Data Input'!$F102:$L102)</f>
        <v>241.22760678445053</v>
      </c>
      <c r="F78" s="50"/>
      <c r="G78" s="50"/>
      <c r="H78" s="142" t="str">
        <f>IF(E78&gt;E59,"Complies","Breach - Reset Tariffs")</f>
        <v>Complies</v>
      </c>
      <c r="I78" s="50"/>
      <c r="J78" s="50"/>
      <c r="K78" s="50"/>
      <c r="L78" s="31"/>
      <c r="M78" s="31"/>
      <c r="N78" s="31"/>
      <c r="O78" s="31"/>
      <c r="P78" s="31"/>
      <c r="Q78" s="31"/>
      <c r="R78" s="31"/>
    </row>
    <row r="79" spans="2:18" ht="12.75">
      <c r="B79" s="27" t="s">
        <v>34</v>
      </c>
      <c r="C79" s="93" t="s">
        <v>21</v>
      </c>
      <c r="E79" s="50">
        <f>SUMPRODUCT($E$6:$K$6,'Data Input'!$F103:$L103)</f>
        <v>361.2030229566409</v>
      </c>
      <c r="F79" s="50"/>
      <c r="G79" s="50"/>
      <c r="H79" s="142" t="str">
        <f>IF(E79&gt;E60,"Complies","Breach - Reset Tariffs")</f>
        <v>Complies</v>
      </c>
      <c r="I79" s="50"/>
      <c r="J79" s="50"/>
      <c r="K79" s="50"/>
      <c r="L79" s="31"/>
      <c r="M79" s="31"/>
      <c r="N79" s="31"/>
      <c r="O79" s="31"/>
      <c r="P79" s="31"/>
      <c r="Q79" s="31"/>
      <c r="R79" s="31"/>
    </row>
    <row r="80" spans="2:18" ht="12.75">
      <c r="B80" s="27" t="s">
        <v>36</v>
      </c>
      <c r="C80" s="93" t="s">
        <v>21</v>
      </c>
      <c r="E80" s="50">
        <f>SUMPRODUCT($E$6:$K$6,'Data Input'!$F104:$L104)</f>
        <v>436.69592737333835</v>
      </c>
      <c r="F80" s="50"/>
      <c r="G80" s="50"/>
      <c r="H80" s="142" t="str">
        <f>IF(E80&gt;E61,"Complies","Breach - Reset Tariffs")</f>
        <v>Complies</v>
      </c>
      <c r="I80" s="50"/>
      <c r="J80" s="50"/>
      <c r="K80" s="50"/>
      <c r="L80" s="31"/>
      <c r="M80" s="31"/>
      <c r="N80" s="31"/>
      <c r="O80" s="31"/>
      <c r="P80" s="31"/>
      <c r="Q80" s="31"/>
      <c r="R80" s="31"/>
    </row>
    <row r="81" spans="2:18" ht="12.75">
      <c r="B81" s="27" t="s">
        <v>37</v>
      </c>
      <c r="C81" s="93" t="s">
        <v>21</v>
      </c>
      <c r="E81" s="50">
        <f>SUMPRODUCT($E$6:$K$6,'Data Input'!$F105:$L105)</f>
        <v>449.4861674939937</v>
      </c>
      <c r="F81" s="50"/>
      <c r="G81" s="50"/>
      <c r="H81" s="142" t="str">
        <f>IF(E81&gt;E62,"Complies","Breach - Reset Tariffs")</f>
        <v>Complies</v>
      </c>
      <c r="I81" s="50"/>
      <c r="J81" s="50"/>
      <c r="K81" s="50"/>
      <c r="L81" s="31"/>
      <c r="M81" s="31"/>
      <c r="N81" s="31"/>
      <c r="O81" s="31"/>
      <c r="P81" s="31"/>
      <c r="Q81" s="31"/>
      <c r="R81" s="31"/>
    </row>
    <row r="82" spans="2:18" ht="12.75">
      <c r="B82" s="27" t="s">
        <v>35</v>
      </c>
      <c r="C82" s="93" t="s">
        <v>21</v>
      </c>
      <c r="E82" s="50">
        <f>SUMPRODUCT($E$6:$K$6,'Data Input'!$F106:$L106)</f>
        <v>591.1479488089093</v>
      </c>
      <c r="F82" s="50"/>
      <c r="G82" s="50"/>
      <c r="H82" s="142" t="str">
        <f>IF(E82&gt;E63,"Complies","Breach - Reset Tariffs")</f>
        <v>Complies</v>
      </c>
      <c r="I82" s="50"/>
      <c r="J82" s="50"/>
      <c r="K82" s="50"/>
      <c r="L82" s="31"/>
      <c r="M82" s="31"/>
      <c r="N82" s="31"/>
      <c r="O82" s="31"/>
      <c r="P82" s="31"/>
      <c r="Q82" s="31"/>
      <c r="R82" s="31"/>
    </row>
    <row r="83" spans="5:18" ht="12.75">
      <c r="E83" s="50"/>
      <c r="F83" s="50"/>
      <c r="G83" s="50"/>
      <c r="H83" s="142"/>
      <c r="I83" s="50"/>
      <c r="J83" s="50"/>
      <c r="K83" s="50"/>
      <c r="L83" s="31"/>
      <c r="M83" s="31"/>
      <c r="N83" s="31"/>
      <c r="O83" s="31"/>
      <c r="P83" s="31"/>
      <c r="Q83" s="31"/>
      <c r="R83" s="31"/>
    </row>
    <row r="84" spans="5:18" ht="12.75">
      <c r="E84" s="50"/>
      <c r="F84" s="50"/>
      <c r="G84" s="50"/>
      <c r="H84" s="142"/>
      <c r="I84" s="50"/>
      <c r="J84" s="50"/>
      <c r="K84" s="50"/>
      <c r="L84" s="31"/>
      <c r="M84" s="31"/>
      <c r="N84" s="31"/>
      <c r="O84" s="31"/>
      <c r="P84" s="31"/>
      <c r="Q84" s="31"/>
      <c r="R84" s="31"/>
    </row>
    <row r="85" spans="5:18" ht="12.75">
      <c r="E85" s="50"/>
      <c r="F85" s="50"/>
      <c r="G85" s="50"/>
      <c r="H85" s="142"/>
      <c r="I85" s="50"/>
      <c r="J85" s="50"/>
      <c r="K85" s="50"/>
      <c r="L85" s="31"/>
      <c r="M85" s="31"/>
      <c r="N85" s="31"/>
      <c r="O85" s="31"/>
      <c r="P85" s="31"/>
      <c r="Q85" s="31"/>
      <c r="R85" s="31"/>
    </row>
    <row r="86" spans="5:18" ht="12.75">
      <c r="E86" s="50"/>
      <c r="F86" s="50"/>
      <c r="G86" s="50"/>
      <c r="H86" s="142"/>
      <c r="I86" s="50"/>
      <c r="J86" s="50"/>
      <c r="K86" s="50"/>
      <c r="L86" s="31"/>
      <c r="M86" s="31"/>
      <c r="N86" s="31"/>
      <c r="O86" s="31"/>
      <c r="P86" s="31"/>
      <c r="Q86" s="31"/>
      <c r="R86" s="31"/>
    </row>
    <row r="87" spans="5:18" ht="12.75">
      <c r="E87" s="50"/>
      <c r="F87" s="50"/>
      <c r="G87" s="50"/>
      <c r="H87" s="142"/>
      <c r="I87" s="50"/>
      <c r="J87" s="50"/>
      <c r="K87" s="50"/>
      <c r="L87" s="31"/>
      <c r="M87" s="31"/>
      <c r="N87" s="31"/>
      <c r="O87" s="31"/>
      <c r="P87" s="31"/>
      <c r="Q87" s="31"/>
      <c r="R87" s="31"/>
    </row>
    <row r="88" spans="5:18" ht="12.75">
      <c r="E88" s="50"/>
      <c r="F88" s="50"/>
      <c r="G88" s="50"/>
      <c r="H88" s="142"/>
      <c r="I88" s="50"/>
      <c r="J88" s="50"/>
      <c r="K88" s="50"/>
      <c r="L88" s="31"/>
      <c r="M88" s="31"/>
      <c r="N88" s="31"/>
      <c r="O88" s="31"/>
      <c r="P88" s="31"/>
      <c r="Q88" s="31"/>
      <c r="R88" s="31"/>
    </row>
    <row r="89" spans="5:18" ht="12.75">
      <c r="E89" s="50"/>
      <c r="F89" s="50"/>
      <c r="G89" s="50"/>
      <c r="H89" s="142"/>
      <c r="I89" s="50"/>
      <c r="J89" s="50"/>
      <c r="K89" s="50"/>
      <c r="L89" s="31"/>
      <c r="M89" s="31"/>
      <c r="N89" s="31"/>
      <c r="O89" s="31"/>
      <c r="P89" s="31"/>
      <c r="Q89" s="31"/>
      <c r="R89" s="31"/>
    </row>
    <row r="90" spans="5:18" ht="12.75">
      <c r="E90" s="50"/>
      <c r="F90" s="50"/>
      <c r="G90" s="50"/>
      <c r="H90" s="142"/>
      <c r="I90" s="50"/>
      <c r="J90" s="50"/>
      <c r="K90" s="50"/>
      <c r="L90" s="31"/>
      <c r="M90" s="31"/>
      <c r="N90" s="31"/>
      <c r="O90" s="31"/>
      <c r="P90" s="31"/>
      <c r="Q90" s="31"/>
      <c r="R90" s="31"/>
    </row>
    <row r="91" spans="5:18" ht="12.75">
      <c r="E91" s="50"/>
      <c r="F91" s="50"/>
      <c r="G91" s="50"/>
      <c r="H91" s="142"/>
      <c r="I91" s="50"/>
      <c r="J91" s="50"/>
      <c r="K91" s="50"/>
      <c r="L91" s="31"/>
      <c r="M91" s="31"/>
      <c r="N91" s="31"/>
      <c r="O91" s="31"/>
      <c r="P91" s="31"/>
      <c r="Q91" s="31"/>
      <c r="R91" s="31"/>
    </row>
    <row r="92" spans="5:18" ht="12.75">
      <c r="E92" s="50"/>
      <c r="F92" s="50"/>
      <c r="G92" s="50"/>
      <c r="H92" s="142"/>
      <c r="I92" s="50"/>
      <c r="J92" s="50"/>
      <c r="K92" s="50"/>
      <c r="L92" s="31"/>
      <c r="M92" s="31"/>
      <c r="N92" s="31"/>
      <c r="O92" s="31"/>
      <c r="P92" s="31"/>
      <c r="Q92" s="31"/>
      <c r="R92" s="31"/>
    </row>
    <row r="93" spans="5:18" ht="12.75">
      <c r="E93" s="50"/>
      <c r="F93" s="50"/>
      <c r="G93" s="50"/>
      <c r="H93" s="142"/>
      <c r="I93" s="50"/>
      <c r="J93" s="50"/>
      <c r="K93" s="50"/>
      <c r="L93" s="31"/>
      <c r="M93" s="31"/>
      <c r="N93" s="31"/>
      <c r="O93" s="31"/>
      <c r="P93" s="31"/>
      <c r="Q93" s="31"/>
      <c r="R93" s="31"/>
    </row>
    <row r="94" spans="5:18" ht="12.75">
      <c r="E94" s="50"/>
      <c r="F94" s="50"/>
      <c r="G94" s="50"/>
      <c r="H94" s="142"/>
      <c r="I94" s="50"/>
      <c r="J94" s="50"/>
      <c r="K94" s="50"/>
      <c r="L94" s="31"/>
      <c r="M94" s="31"/>
      <c r="N94" s="31"/>
      <c r="O94" s="31"/>
      <c r="P94" s="31"/>
      <c r="Q94" s="31"/>
      <c r="R94" s="31"/>
    </row>
    <row r="95" spans="5:18" ht="12.75">
      <c r="E95" s="50"/>
      <c r="F95" s="50"/>
      <c r="G95" s="50"/>
      <c r="H95" s="142"/>
      <c r="I95" s="50"/>
      <c r="J95" s="50"/>
      <c r="K95" s="50"/>
      <c r="L95" s="31"/>
      <c r="M95" s="31"/>
      <c r="N95" s="31"/>
      <c r="O95" s="31"/>
      <c r="P95" s="31"/>
      <c r="Q95" s="31"/>
      <c r="R95" s="31"/>
    </row>
    <row r="96" spans="5:18" ht="12.75">
      <c r="E96" s="50"/>
      <c r="F96" s="50"/>
      <c r="G96" s="50"/>
      <c r="H96" s="142"/>
      <c r="I96" s="50"/>
      <c r="J96" s="50"/>
      <c r="K96" s="50"/>
      <c r="L96" s="31"/>
      <c r="M96" s="31"/>
      <c r="N96" s="31"/>
      <c r="O96" s="31"/>
      <c r="P96" s="31"/>
      <c r="Q96" s="31"/>
      <c r="R96" s="31"/>
    </row>
    <row r="97" spans="5:18" ht="12.75">
      <c r="E97" s="50"/>
      <c r="F97" s="50"/>
      <c r="G97" s="50"/>
      <c r="H97" s="142"/>
      <c r="I97" s="50"/>
      <c r="J97" s="50"/>
      <c r="K97" s="50"/>
      <c r="L97" s="31"/>
      <c r="M97" s="31"/>
      <c r="N97" s="31"/>
      <c r="O97" s="31"/>
      <c r="P97" s="31"/>
      <c r="Q97" s="31"/>
      <c r="R97" s="31"/>
    </row>
    <row r="98" spans="5:18" ht="12.75">
      <c r="E98" s="50"/>
      <c r="F98" s="50"/>
      <c r="G98" s="50"/>
      <c r="H98" s="142"/>
      <c r="I98" s="50"/>
      <c r="J98" s="50"/>
      <c r="K98" s="50"/>
      <c r="L98" s="31"/>
      <c r="M98" s="31"/>
      <c r="N98" s="31"/>
      <c r="O98" s="31"/>
      <c r="P98" s="31"/>
      <c r="Q98" s="31"/>
      <c r="R98" s="31"/>
    </row>
    <row r="99" spans="5:18" ht="12.75">
      <c r="E99" s="50"/>
      <c r="F99" s="50"/>
      <c r="G99" s="50"/>
      <c r="H99" s="142"/>
      <c r="I99" s="50"/>
      <c r="J99" s="50"/>
      <c r="K99" s="50"/>
      <c r="L99" s="31"/>
      <c r="M99" s="31"/>
      <c r="N99" s="31"/>
      <c r="O99" s="31"/>
      <c r="P99" s="31"/>
      <c r="Q99" s="31"/>
      <c r="R99" s="31"/>
    </row>
    <row r="100" spans="5:18" ht="12.75">
      <c r="E100" s="50"/>
      <c r="F100" s="50"/>
      <c r="G100" s="50"/>
      <c r="H100" s="142"/>
      <c r="I100" s="50"/>
      <c r="J100" s="50"/>
      <c r="K100" s="50"/>
      <c r="L100" s="31"/>
      <c r="M100" s="31"/>
      <c r="N100" s="31"/>
      <c r="O100" s="31"/>
      <c r="P100" s="31"/>
      <c r="Q100" s="31"/>
      <c r="R100" s="31"/>
    </row>
    <row r="101" spans="5:18" ht="12.75">
      <c r="E101" s="50"/>
      <c r="F101" s="50"/>
      <c r="G101" s="50"/>
      <c r="H101" s="142"/>
      <c r="I101" s="50"/>
      <c r="J101" s="50"/>
      <c r="K101" s="50"/>
      <c r="L101" s="31"/>
      <c r="M101" s="31"/>
      <c r="N101" s="31"/>
      <c r="O101" s="31"/>
      <c r="P101" s="31"/>
      <c r="Q101" s="31"/>
      <c r="R101" s="31"/>
    </row>
    <row r="102" spans="5:18" ht="12.75">
      <c r="E102" s="50"/>
      <c r="F102" s="50"/>
      <c r="G102" s="50"/>
      <c r="H102" s="142"/>
      <c r="I102" s="50"/>
      <c r="J102" s="50"/>
      <c r="K102" s="50"/>
      <c r="L102" s="31"/>
      <c r="M102" s="31"/>
      <c r="N102" s="31"/>
      <c r="O102" s="31"/>
      <c r="P102" s="31"/>
      <c r="Q102" s="31"/>
      <c r="R102" s="31"/>
    </row>
    <row r="103" spans="5:18" ht="12.75">
      <c r="E103" s="50"/>
      <c r="F103" s="50"/>
      <c r="G103" s="50"/>
      <c r="H103" s="142"/>
      <c r="I103" s="50"/>
      <c r="J103" s="50"/>
      <c r="K103" s="50"/>
      <c r="L103" s="31"/>
      <c r="M103" s="31"/>
      <c r="N103" s="31"/>
      <c r="O103" s="31"/>
      <c r="P103" s="31"/>
      <c r="Q103" s="31"/>
      <c r="R103" s="31"/>
    </row>
    <row r="104" spans="5:18" ht="12.75">
      <c r="E104" s="50"/>
      <c r="F104" s="50"/>
      <c r="G104" s="50"/>
      <c r="H104" s="142"/>
      <c r="I104" s="50"/>
      <c r="J104" s="50"/>
      <c r="K104" s="50"/>
      <c r="L104" s="31"/>
      <c r="M104" s="31"/>
      <c r="N104" s="31"/>
      <c r="O104" s="31"/>
      <c r="P104" s="31"/>
      <c r="Q104" s="31"/>
      <c r="R104" s="31"/>
    </row>
    <row r="105" spans="5:18" ht="12.75">
      <c r="E105" s="50"/>
      <c r="F105" s="50"/>
      <c r="G105" s="50"/>
      <c r="H105" s="142"/>
      <c r="I105" s="50"/>
      <c r="J105" s="50"/>
      <c r="K105" s="50"/>
      <c r="L105" s="31"/>
      <c r="M105" s="31"/>
      <c r="N105" s="31"/>
      <c r="O105" s="31"/>
      <c r="P105" s="31"/>
      <c r="Q105" s="31"/>
      <c r="R105" s="31"/>
    </row>
    <row r="106" spans="5:18" ht="12.75">
      <c r="E106" s="50"/>
      <c r="F106" s="50"/>
      <c r="G106" s="50"/>
      <c r="H106" s="142"/>
      <c r="I106" s="50"/>
      <c r="J106" s="50"/>
      <c r="K106" s="50"/>
      <c r="L106" s="31"/>
      <c r="M106" s="31"/>
      <c r="N106" s="31"/>
      <c r="O106" s="31"/>
      <c r="P106" s="31"/>
      <c r="Q106" s="31"/>
      <c r="R106" s="31"/>
    </row>
    <row r="107" spans="5:18" ht="12.75">
      <c r="E107" s="50"/>
      <c r="F107" s="50"/>
      <c r="G107" s="50"/>
      <c r="H107" s="142"/>
      <c r="I107" s="50"/>
      <c r="J107" s="50"/>
      <c r="K107" s="50"/>
      <c r="L107" s="31"/>
      <c r="M107" s="31"/>
      <c r="N107" s="31"/>
      <c r="O107" s="31"/>
      <c r="P107" s="31"/>
      <c r="Q107" s="31"/>
      <c r="R107" s="31"/>
    </row>
    <row r="108" spans="5:18" ht="12.75">
      <c r="E108" s="50"/>
      <c r="F108" s="50"/>
      <c r="G108" s="50"/>
      <c r="H108" s="142"/>
      <c r="I108" s="50"/>
      <c r="J108" s="50"/>
      <c r="K108" s="50"/>
      <c r="L108" s="31"/>
      <c r="M108" s="31"/>
      <c r="N108" s="31"/>
      <c r="O108" s="31"/>
      <c r="P108" s="31"/>
      <c r="Q108" s="31"/>
      <c r="R108" s="31"/>
    </row>
    <row r="109" spans="5:18" ht="12.75">
      <c r="E109" s="50"/>
      <c r="F109" s="50"/>
      <c r="G109" s="50"/>
      <c r="H109" s="142"/>
      <c r="I109" s="50"/>
      <c r="J109" s="50"/>
      <c r="K109" s="50"/>
      <c r="L109" s="31"/>
      <c r="M109" s="31"/>
      <c r="N109" s="31"/>
      <c r="O109" s="31"/>
      <c r="P109" s="31"/>
      <c r="Q109" s="31"/>
      <c r="R109" s="31"/>
    </row>
    <row r="110" spans="5:18" ht="12.75">
      <c r="E110" s="50"/>
      <c r="F110" s="50"/>
      <c r="G110" s="50"/>
      <c r="H110" s="142"/>
      <c r="I110" s="50"/>
      <c r="J110" s="50"/>
      <c r="K110" s="50"/>
      <c r="L110" s="31"/>
      <c r="M110" s="31"/>
      <c r="N110" s="31"/>
      <c r="O110" s="31"/>
      <c r="P110" s="31"/>
      <c r="Q110" s="31"/>
      <c r="R110" s="31"/>
    </row>
    <row r="111" spans="5:18" ht="12.75">
      <c r="E111" s="50"/>
      <c r="F111" s="50"/>
      <c r="G111" s="50"/>
      <c r="H111" s="142"/>
      <c r="I111" s="50"/>
      <c r="J111" s="50"/>
      <c r="K111" s="50"/>
      <c r="L111" s="31"/>
      <c r="M111" s="31"/>
      <c r="N111" s="31"/>
      <c r="O111" s="31"/>
      <c r="P111" s="31"/>
      <c r="Q111" s="31"/>
      <c r="R111" s="31"/>
    </row>
    <row r="112" spans="5:18" ht="12.75">
      <c r="E112" s="50"/>
      <c r="F112" s="50"/>
      <c r="G112" s="50"/>
      <c r="H112" s="142"/>
      <c r="I112" s="50"/>
      <c r="J112" s="50"/>
      <c r="K112" s="50"/>
      <c r="L112" s="31"/>
      <c r="M112" s="31"/>
      <c r="N112" s="31"/>
      <c r="O112" s="31"/>
      <c r="P112" s="31"/>
      <c r="Q112" s="31"/>
      <c r="R112" s="31"/>
    </row>
    <row r="113" spans="5:18" ht="12.75">
      <c r="E113" s="50"/>
      <c r="F113" s="50"/>
      <c r="G113" s="50"/>
      <c r="H113" s="142"/>
      <c r="I113" s="50"/>
      <c r="J113" s="50"/>
      <c r="K113" s="50"/>
      <c r="L113" s="31"/>
      <c r="M113" s="31"/>
      <c r="N113" s="31"/>
      <c r="O113" s="31"/>
      <c r="P113" s="31"/>
      <c r="Q113" s="31"/>
      <c r="R113" s="31"/>
    </row>
    <row r="114" spans="5:18" ht="12.75">
      <c r="E114" s="50"/>
      <c r="F114" s="50"/>
      <c r="G114" s="50"/>
      <c r="H114" s="142"/>
      <c r="I114" s="50"/>
      <c r="J114" s="50"/>
      <c r="K114" s="50"/>
      <c r="L114" s="31"/>
      <c r="M114" s="31"/>
      <c r="N114" s="31"/>
      <c r="O114" s="31"/>
      <c r="P114" s="31"/>
      <c r="Q114" s="31"/>
      <c r="R114" s="31"/>
    </row>
    <row r="115" spans="5:18" ht="12.75">
      <c r="E115" s="50"/>
      <c r="F115" s="50"/>
      <c r="G115" s="50"/>
      <c r="H115" s="142"/>
      <c r="I115" s="50"/>
      <c r="J115" s="50"/>
      <c r="K115" s="50"/>
      <c r="L115" s="31"/>
      <c r="M115" s="31"/>
      <c r="N115" s="31"/>
      <c r="O115" s="31"/>
      <c r="P115" s="31"/>
      <c r="Q115" s="31"/>
      <c r="R115" s="31"/>
    </row>
    <row r="116" spans="5:18" ht="12.75">
      <c r="E116" s="50"/>
      <c r="F116" s="50"/>
      <c r="G116" s="50"/>
      <c r="H116" s="142"/>
      <c r="I116" s="50"/>
      <c r="J116" s="50"/>
      <c r="K116" s="50"/>
      <c r="L116" s="31"/>
      <c r="M116" s="31"/>
      <c r="N116" s="31"/>
      <c r="O116" s="31"/>
      <c r="P116" s="31"/>
      <c r="Q116" s="31"/>
      <c r="R116" s="31"/>
    </row>
    <row r="117" spans="5:18" ht="12.75">
      <c r="E117" s="50"/>
      <c r="F117" s="50"/>
      <c r="G117" s="50"/>
      <c r="H117" s="142"/>
      <c r="I117" s="50"/>
      <c r="J117" s="50"/>
      <c r="K117" s="50"/>
      <c r="L117" s="31"/>
      <c r="M117" s="31"/>
      <c r="N117" s="31"/>
      <c r="O117" s="31"/>
      <c r="P117" s="31"/>
      <c r="Q117" s="31"/>
      <c r="R117" s="31"/>
    </row>
    <row r="118" spans="5:18" ht="12.75">
      <c r="E118" s="50"/>
      <c r="F118" s="50"/>
      <c r="G118" s="50"/>
      <c r="H118" s="142"/>
      <c r="I118" s="50"/>
      <c r="J118" s="50"/>
      <c r="K118" s="50"/>
      <c r="L118" s="31"/>
      <c r="M118" s="31"/>
      <c r="N118" s="31"/>
      <c r="O118" s="31"/>
      <c r="P118" s="31"/>
      <c r="Q118" s="31"/>
      <c r="R118" s="31"/>
    </row>
    <row r="119" spans="5:18" ht="12.75">
      <c r="E119" s="50"/>
      <c r="F119" s="50"/>
      <c r="G119" s="50"/>
      <c r="H119" s="142"/>
      <c r="I119" s="50"/>
      <c r="J119" s="50"/>
      <c r="K119" s="50"/>
      <c r="L119" s="31"/>
      <c r="M119" s="31"/>
      <c r="N119" s="31"/>
      <c r="O119" s="31"/>
      <c r="P119" s="31"/>
      <c r="Q119" s="31"/>
      <c r="R119" s="31"/>
    </row>
    <row r="120" spans="5:18" ht="12.75">
      <c r="E120" s="50"/>
      <c r="F120" s="50"/>
      <c r="G120" s="50"/>
      <c r="H120" s="142"/>
      <c r="I120" s="50"/>
      <c r="J120" s="50"/>
      <c r="K120" s="50"/>
      <c r="L120" s="31"/>
      <c r="M120" s="31"/>
      <c r="N120" s="31"/>
      <c r="O120" s="31"/>
      <c r="P120" s="31"/>
      <c r="Q120" s="31"/>
      <c r="R120" s="31"/>
    </row>
    <row r="121" spans="5:18" ht="12.75">
      <c r="E121" s="50"/>
      <c r="F121" s="50"/>
      <c r="G121" s="50"/>
      <c r="H121" s="142"/>
      <c r="I121" s="50"/>
      <c r="J121" s="50"/>
      <c r="K121" s="50"/>
      <c r="L121" s="31"/>
      <c r="M121" s="31"/>
      <c r="N121" s="31"/>
      <c r="O121" s="31"/>
      <c r="P121" s="31"/>
      <c r="Q121" s="31"/>
      <c r="R121" s="31"/>
    </row>
    <row r="122" spans="5:18" ht="12.75">
      <c r="E122" s="50"/>
      <c r="F122" s="50"/>
      <c r="G122" s="50"/>
      <c r="H122" s="142"/>
      <c r="I122" s="50"/>
      <c r="J122" s="50"/>
      <c r="K122" s="50"/>
      <c r="L122" s="31"/>
      <c r="M122" s="31"/>
      <c r="N122" s="31"/>
      <c r="O122" s="31"/>
      <c r="P122" s="31"/>
      <c r="Q122" s="31"/>
      <c r="R122" s="31"/>
    </row>
    <row r="123" spans="5:18" ht="12.75">
      <c r="E123" s="50"/>
      <c r="F123" s="50"/>
      <c r="G123" s="50"/>
      <c r="H123" s="142"/>
      <c r="I123" s="50"/>
      <c r="J123" s="50"/>
      <c r="K123" s="50"/>
      <c r="L123" s="31"/>
      <c r="M123" s="31"/>
      <c r="N123" s="31"/>
      <c r="O123" s="31"/>
      <c r="P123" s="31"/>
      <c r="Q123" s="31"/>
      <c r="R123" s="31"/>
    </row>
    <row r="124" spans="5:18" ht="12.75">
      <c r="E124" s="50"/>
      <c r="F124" s="50"/>
      <c r="G124" s="50"/>
      <c r="H124" s="142"/>
      <c r="I124" s="50"/>
      <c r="J124" s="50"/>
      <c r="K124" s="50"/>
      <c r="L124" s="31"/>
      <c r="M124" s="31"/>
      <c r="N124" s="31"/>
      <c r="O124" s="31"/>
      <c r="P124" s="31"/>
      <c r="Q124" s="31"/>
      <c r="R124" s="31"/>
    </row>
    <row r="125" spans="5:18" ht="12.75">
      <c r="E125" s="50"/>
      <c r="F125" s="50"/>
      <c r="G125" s="50"/>
      <c r="H125" s="50"/>
      <c r="I125" s="50"/>
      <c r="J125" s="50"/>
      <c r="K125" s="50"/>
      <c r="L125" s="31"/>
      <c r="M125" s="31"/>
      <c r="N125" s="31"/>
      <c r="O125" s="31"/>
      <c r="P125" s="31"/>
      <c r="Q125" s="31"/>
      <c r="R125" s="31"/>
    </row>
    <row r="126" spans="2:18" ht="12.75">
      <c r="B126" s="30"/>
      <c r="C126" s="117"/>
      <c r="D126" s="117"/>
      <c r="E126" s="132"/>
      <c r="F126" s="132"/>
      <c r="G126" s="132"/>
      <c r="H126" s="132"/>
      <c r="I126" s="132"/>
      <c r="J126" s="132"/>
      <c r="K126" s="132"/>
      <c r="L126" s="31"/>
      <c r="M126" s="31"/>
      <c r="N126" s="31"/>
      <c r="O126" s="31"/>
      <c r="P126" s="31"/>
      <c r="Q126" s="31"/>
      <c r="R126" s="31"/>
    </row>
    <row r="127" spans="5:18" ht="12.75">
      <c r="E127" s="50"/>
      <c r="F127" s="50"/>
      <c r="G127" s="50"/>
      <c r="H127" s="50"/>
      <c r="I127" s="50"/>
      <c r="J127" s="50"/>
      <c r="K127" s="50"/>
      <c r="L127" s="31"/>
      <c r="M127" s="31"/>
      <c r="N127" s="31"/>
      <c r="O127" s="31"/>
      <c r="P127" s="31"/>
      <c r="Q127" s="31"/>
      <c r="R127" s="31"/>
    </row>
    <row r="128" spans="5:18" ht="12.75">
      <c r="E128" s="50"/>
      <c r="F128" s="50"/>
      <c r="G128" s="50"/>
      <c r="H128" s="50"/>
      <c r="I128" s="50"/>
      <c r="J128" s="50"/>
      <c r="K128" s="50"/>
      <c r="L128" s="31"/>
      <c r="M128" s="31"/>
      <c r="N128" s="31"/>
      <c r="O128" s="31"/>
      <c r="P128" s="31"/>
      <c r="Q128" s="31"/>
      <c r="R128" s="31"/>
    </row>
    <row r="129" spans="5:18" ht="12.75">
      <c r="E129" s="50"/>
      <c r="F129" s="50"/>
      <c r="G129" s="50"/>
      <c r="H129" s="50"/>
      <c r="I129" s="50"/>
      <c r="J129" s="50"/>
      <c r="K129" s="50"/>
      <c r="L129" s="31"/>
      <c r="M129" s="31"/>
      <c r="N129" s="31"/>
      <c r="O129" s="31"/>
      <c r="P129" s="31"/>
      <c r="Q129" s="31"/>
      <c r="R129" s="31"/>
    </row>
    <row r="130" spans="5:18" ht="12.75">
      <c r="E130" s="50"/>
      <c r="F130" s="50"/>
      <c r="G130" s="50"/>
      <c r="H130" s="50"/>
      <c r="I130" s="50"/>
      <c r="J130" s="50"/>
      <c r="K130" s="50"/>
      <c r="L130" s="31"/>
      <c r="M130" s="31"/>
      <c r="N130" s="31"/>
      <c r="O130" s="31"/>
      <c r="P130" s="31"/>
      <c r="Q130" s="31"/>
      <c r="R130" s="31"/>
    </row>
    <row r="131" spans="5:18" ht="12.75">
      <c r="E131" s="50"/>
      <c r="F131" s="50"/>
      <c r="G131" s="50"/>
      <c r="H131" s="50"/>
      <c r="I131" s="50"/>
      <c r="J131" s="50"/>
      <c r="K131" s="50"/>
      <c r="L131" s="31"/>
      <c r="M131" s="31"/>
      <c r="N131" s="31"/>
      <c r="O131" s="31"/>
      <c r="P131" s="31"/>
      <c r="Q131" s="31"/>
      <c r="R131" s="31"/>
    </row>
    <row r="132" spans="5:18" ht="12.75">
      <c r="E132" s="50"/>
      <c r="F132" s="50"/>
      <c r="G132" s="50"/>
      <c r="H132" s="50"/>
      <c r="I132" s="50"/>
      <c r="J132" s="50"/>
      <c r="K132" s="50"/>
      <c r="L132" s="31"/>
      <c r="M132" s="31"/>
      <c r="N132" s="31"/>
      <c r="O132" s="31"/>
      <c r="P132" s="31"/>
      <c r="Q132" s="31"/>
      <c r="R132" s="31"/>
    </row>
    <row r="133" spans="5:18" ht="12.75">
      <c r="E133" s="50"/>
      <c r="F133" s="50"/>
      <c r="G133" s="50"/>
      <c r="H133" s="50"/>
      <c r="I133" s="50"/>
      <c r="J133" s="50"/>
      <c r="K133" s="50"/>
      <c r="L133" s="31"/>
      <c r="M133" s="31"/>
      <c r="N133" s="31"/>
      <c r="O133" s="31"/>
      <c r="P133" s="31"/>
      <c r="Q133" s="31"/>
      <c r="R133" s="31"/>
    </row>
    <row r="134" spans="5:18" ht="12.75">
      <c r="E134" s="50"/>
      <c r="F134" s="50"/>
      <c r="G134" s="50"/>
      <c r="H134" s="50"/>
      <c r="I134" s="50"/>
      <c r="J134" s="50"/>
      <c r="K134" s="50"/>
      <c r="L134" s="31"/>
      <c r="M134" s="31"/>
      <c r="N134" s="31"/>
      <c r="O134" s="31"/>
      <c r="P134" s="31"/>
      <c r="Q134" s="31"/>
      <c r="R134" s="31"/>
    </row>
    <row r="135" spans="5:18" ht="12.75">
      <c r="E135" s="50"/>
      <c r="F135" s="50"/>
      <c r="G135" s="50"/>
      <c r="H135" s="50"/>
      <c r="I135" s="50"/>
      <c r="J135" s="50"/>
      <c r="K135" s="50"/>
      <c r="L135" s="31"/>
      <c r="M135" s="31"/>
      <c r="N135" s="31"/>
      <c r="O135" s="31"/>
      <c r="P135" s="31"/>
      <c r="Q135" s="31"/>
      <c r="R135" s="31"/>
    </row>
    <row r="136" spans="5:18" ht="12.75">
      <c r="E136" s="50"/>
      <c r="F136" s="50"/>
      <c r="G136" s="50"/>
      <c r="H136" s="50"/>
      <c r="I136" s="50"/>
      <c r="J136" s="50"/>
      <c r="K136" s="50"/>
      <c r="L136" s="31"/>
      <c r="M136" s="31"/>
      <c r="N136" s="31"/>
      <c r="O136" s="31"/>
      <c r="P136" s="31"/>
      <c r="Q136" s="31"/>
      <c r="R136" s="31"/>
    </row>
    <row r="137" spans="5:18" ht="12.75">
      <c r="E137" s="50"/>
      <c r="F137" s="50"/>
      <c r="G137" s="5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5:18" ht="12.75">
      <c r="E138" s="50"/>
      <c r="F138" s="50"/>
      <c r="G138" s="5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5:18" ht="12.75"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5:18" ht="12.75"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5:18" ht="12.75"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5:18" ht="12.75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5:18" ht="12.75"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5:18" ht="12.75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5:18" ht="12.75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5:18" ht="12.75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5:18" ht="12.75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5:18" ht="12.75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5:18" ht="12.75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5:18" ht="12.75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5:18" ht="12.75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5:18" ht="12.75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5:18" ht="12.75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5:18" ht="12.75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5:18" ht="12.75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5:18" ht="12.75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5:18" ht="12.75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5:18" ht="12.75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5:18" ht="12.75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5:18" ht="12.75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5:18" ht="12.75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5:18" ht="12.75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5:18" ht="12.75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5:18" ht="12.75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5:18" ht="12.75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5:18" ht="12.75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5:18" ht="12.75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5:18" ht="12.75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5:18" ht="12.75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5:18" ht="12.75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5:18" ht="12.75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5:18" ht="12.75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5:18" ht="12.75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5:18" ht="12.75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5:18" ht="12.75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5:18" ht="12.75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5:18" ht="12.75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5:18" ht="12.75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5:18" ht="12.75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5:18" ht="12.75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5:18" ht="12.75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5:18" ht="12.75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5:18" ht="12.75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5:18" ht="12.75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5:18" ht="12.75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5:18" ht="12.75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5:18" ht="12.75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5:18" ht="12.75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5:18" ht="12.75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5:18" ht="12.75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5:18" ht="12.75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5:18" ht="12.75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5:18" ht="12.75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5:18" ht="12.75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5:18" ht="12.75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5:18" ht="12.75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5:18" ht="12.75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5:18" ht="12.75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5:18" ht="12.75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5:18" ht="12.75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5:18" ht="12.75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5:18" ht="12.75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5:18" ht="12.75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5:18" ht="12.75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5:18" ht="12.75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5:18" ht="12.75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5:18" ht="12.75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5:18" ht="12.75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5:18" ht="12.75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5:18" ht="12.75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5:18" ht="12.75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5:18" ht="12.75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5:18" ht="12.75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5:18" ht="12.75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5:18" ht="12.75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5:18" ht="12.75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5:18" ht="12.75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5:18" ht="12.75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5:18" ht="12.75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5:18" ht="12.75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5:18" ht="12.75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5:18" ht="12.75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5:18" ht="12.75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5:18" ht="12.75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5:18" ht="12.75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5:18" ht="12.75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5:18" ht="12.75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5:18" ht="12.75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5:18" ht="12.75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5:18" ht="12.75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5:18" ht="12.75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5:18" ht="12.75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5:18" ht="12.75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5:18" ht="12.75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5:18" ht="12.75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5:18" ht="12.75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5:18" ht="12.75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5:18" ht="12.75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5:18" ht="12.75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5:18" ht="12.75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5:18" ht="12.75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5:18" ht="12.75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5:18" ht="12.75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5:18" ht="12.75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5:18" ht="12.75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5:18" ht="12.75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5:18" ht="12.75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5:18" ht="12.75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5:18" ht="12.75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5:18" ht="12.75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5:18" ht="12.75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5:18" ht="12.75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5:18" ht="12.75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5:18" ht="12.75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5:18" ht="12.75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5:18" ht="12.75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5:18" ht="12.75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5:18" ht="12.75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5:18" ht="12.75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5:18" ht="12.75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5:18" ht="12.75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5:18" ht="12.75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5:18" ht="12.75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5:18" ht="12.75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5:18" ht="12.75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5:18" ht="12.75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5:18" ht="12.75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5:18" ht="12.75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5:18" ht="12.75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5:18" ht="12.75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5:18" ht="12.75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5:18" ht="12.75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5:18" ht="12.75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5:18" ht="12.75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5:18" ht="12.75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5:18" ht="12.75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5:18" ht="12.75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5:18" ht="12.75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5:18" ht="12.75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5:18" ht="12.75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5:18" ht="12.75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5:18" ht="12.75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5:18" ht="12.75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5:18" ht="12.75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5:18" ht="12.75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5:18" ht="12.75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5:18" ht="12.75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5:18" ht="12.75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5:18" ht="12.75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5:18" ht="12.75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5:18" ht="12.75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5:18" ht="12.75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5:18" ht="12.75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5:18" ht="12.75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5:18" ht="12.75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5:18" ht="12.75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5:18" ht="12.75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5:18" ht="12.75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5:18" ht="12.75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5:18" ht="12.75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5:18" ht="12.75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5:18" ht="12.75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5:18" ht="12.75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5:18" ht="12.75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5:18" ht="12.75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5:18" ht="12.75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5:18" ht="12.75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5:18" ht="12.75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5:18" ht="12.75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5:18" ht="12.75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5:18" ht="12.75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5:18" ht="12.75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5:18" ht="12.75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5:18" ht="12.75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5:18" ht="12.75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5:18" ht="12.75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5:18" ht="12.75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5:18" ht="12.75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5:18" ht="12.75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5:18" ht="12.75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5:18" ht="12.75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5:18" ht="12.75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5:18" ht="12.75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5:18" ht="12.75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5:18" ht="12.75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5:18" ht="12.75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5:18" ht="12.75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5:18" ht="12.75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5:18" ht="12.75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5:18" ht="12.75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5:18" ht="12.75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5:18" ht="12.75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5:18" ht="12.75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5:18" ht="12.75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5:18" ht="12.75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5:18" ht="12.75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5:18" ht="12.75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5:18" ht="12.75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5:18" ht="12.75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5:18" ht="12.75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5:18" ht="12.75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5:18" ht="12.75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5:18" ht="12.75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5:18" ht="12.75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5:18" ht="12.75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5:18" ht="12.75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5:18" ht="12.75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5:18" ht="12.75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5:18" ht="12.75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5:18" ht="12.75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5:18" ht="12.75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5:18" ht="12.75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5:18" ht="12.75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5:18" ht="12.75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5:18" ht="12.75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5:18" ht="12.75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5:18" ht="12.75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5:18" ht="12.75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5:18" ht="12.75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5:18" ht="12.75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5:18" ht="12.75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5:18" ht="12.75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5:18" ht="12.75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5:18" ht="12.75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</sheetData>
  <sheetProtection password="CAE4" sheet="1"/>
  <printOptions/>
  <pageMargins left="0.7" right="0.7" top="0.75" bottom="0.75" header="0.3" footer="0.3"/>
  <pageSetup fitToHeight="1" fitToWidth="1" horizontalDpi="600" verticalDpi="600" orientation="landscape" paperSize="9" scale="91" r:id="rId1"/>
  <headerFooter alignWithMargins="0">
    <oddFooter>&amp;L&amp;D&amp;T&amp;Z&amp;F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302"/>
  <sheetViews>
    <sheetView showGridLines="0" workbookViewId="0" topLeftCell="A1">
      <pane ySplit="4" topLeftCell="BM5" activePane="bottomLeft" state="frozen"/>
      <selection pane="topLeft" activeCell="A1" sqref="A1"/>
      <selection pane="bottomLeft" activeCell="J30" sqref="J30"/>
    </sheetView>
  </sheetViews>
  <sheetFormatPr defaultColWidth="9.33203125" defaultRowHeight="12.75"/>
  <cols>
    <col min="1" max="1" width="1.83203125" style="0" customWidth="1"/>
    <col min="2" max="2" width="40.83203125" style="0" customWidth="1"/>
    <col min="3" max="4" width="12.83203125" style="0" customWidth="1"/>
    <col min="5" max="6" width="10.83203125" style="0" customWidth="1"/>
    <col min="7" max="7" width="17.33203125" style="0" customWidth="1"/>
    <col min="8" max="8" width="15.5" style="0" customWidth="1"/>
    <col min="9" max="9" width="16.16015625" style="0" customWidth="1"/>
    <col min="10" max="10" width="16.66015625" style="0" customWidth="1"/>
    <col min="11" max="11" width="16.33203125" style="0" customWidth="1"/>
    <col min="12" max="12" width="12.83203125" style="0" customWidth="1"/>
    <col min="13" max="13" width="15.66015625" style="0" customWidth="1"/>
    <col min="14" max="14" width="12" style="0" customWidth="1"/>
    <col min="15" max="20" width="12.83203125" style="0" customWidth="1"/>
  </cols>
  <sheetData>
    <row r="2" spans="1:17" s="80" customFormat="1" ht="15" customHeight="1">
      <c r="A2" s="77"/>
      <c r="B2" s="157" t="s">
        <v>12</v>
      </c>
      <c r="C2" s="158"/>
      <c r="D2" s="158"/>
      <c r="E2" s="158" t="s">
        <v>23</v>
      </c>
      <c r="F2" s="158" t="s">
        <v>139</v>
      </c>
      <c r="G2" s="158" t="s">
        <v>140</v>
      </c>
      <c r="H2" s="158" t="s">
        <v>24</v>
      </c>
      <c r="I2" s="158" t="s">
        <v>25</v>
      </c>
      <c r="J2" s="158" t="s">
        <v>26</v>
      </c>
      <c r="K2" s="158" t="s">
        <v>27</v>
      </c>
      <c r="L2" s="158"/>
      <c r="M2" s="158"/>
      <c r="N2" s="158"/>
      <c r="O2" s="158"/>
      <c r="P2" s="158"/>
      <c r="Q2" s="158"/>
    </row>
    <row r="3" spans="1:17" s="80" customFormat="1" ht="15" customHeight="1">
      <c r="A3" s="77"/>
      <c r="B3" s="157" t="s">
        <v>11</v>
      </c>
      <c r="C3" s="81"/>
      <c r="D3" s="81"/>
      <c r="E3" s="81" t="s">
        <v>4</v>
      </c>
      <c r="F3" s="81" t="s">
        <v>4</v>
      </c>
      <c r="G3" s="81" t="s">
        <v>4</v>
      </c>
      <c r="H3" s="81" t="s">
        <v>4</v>
      </c>
      <c r="I3" s="81" t="s">
        <v>4</v>
      </c>
      <c r="J3" s="81" t="s">
        <v>4</v>
      </c>
      <c r="K3" s="81" t="s">
        <v>4</v>
      </c>
      <c r="L3" s="81"/>
      <c r="M3" s="81"/>
      <c r="N3" s="81"/>
      <c r="O3" s="81"/>
      <c r="P3" s="81"/>
      <c r="Q3" s="81"/>
    </row>
    <row r="5" spans="2:25" s="12" customFormat="1" ht="12.75">
      <c r="B5" s="27"/>
      <c r="C5" s="126"/>
      <c r="D5" s="31"/>
      <c r="E5" s="31"/>
      <c r="F5" s="31"/>
      <c r="G5" s="159"/>
      <c r="I5" s="160"/>
      <c r="J5" s="160"/>
      <c r="K5" s="160"/>
      <c r="L5" s="147"/>
      <c r="M5"/>
      <c r="N5"/>
      <c r="O5"/>
      <c r="P5"/>
      <c r="Q5"/>
      <c r="R5"/>
      <c r="S5"/>
      <c r="T5"/>
      <c r="U5"/>
      <c r="V5"/>
      <c r="W5"/>
      <c r="X5"/>
      <c r="Y5"/>
    </row>
    <row r="6" spans="2:25" s="12" customFormat="1" ht="12.75">
      <c r="B6" s="2" t="s">
        <v>88</v>
      </c>
      <c r="C6" s="93"/>
      <c r="D6" s="93"/>
      <c r="E6" s="31"/>
      <c r="F6" s="31"/>
      <c r="G6" s="31"/>
      <c r="H6" s="31"/>
      <c r="I6" s="31"/>
      <c r="J6" s="31"/>
      <c r="K6" s="31"/>
      <c r="L6" s="147"/>
      <c r="M6"/>
      <c r="N6"/>
      <c r="O6"/>
      <c r="P6"/>
      <c r="Q6"/>
      <c r="R6"/>
      <c r="S6"/>
      <c r="T6"/>
      <c r="U6"/>
      <c r="V6"/>
      <c r="W6"/>
      <c r="X6"/>
      <c r="Y6"/>
    </row>
    <row r="7" spans="3:25" s="12" customFormat="1" ht="12.75">
      <c r="C7" s="93"/>
      <c r="D7" s="93"/>
      <c r="E7" s="31"/>
      <c r="F7" s="31"/>
      <c r="G7" s="31"/>
      <c r="H7" s="31"/>
      <c r="I7" s="31"/>
      <c r="J7" s="31"/>
      <c r="K7" s="31"/>
      <c r="L7" s="147"/>
      <c r="M7"/>
      <c r="N7"/>
      <c r="O7"/>
      <c r="P7"/>
      <c r="Q7"/>
      <c r="R7"/>
      <c r="S7"/>
      <c r="T7"/>
      <c r="U7"/>
      <c r="V7"/>
      <c r="W7"/>
      <c r="X7"/>
      <c r="Y7"/>
    </row>
    <row r="8" spans="2:25" s="12" customFormat="1" ht="12.75">
      <c r="B8" s="27" t="s">
        <v>51</v>
      </c>
      <c r="C8" s="93"/>
      <c r="D8" s="93"/>
      <c r="E8" s="31"/>
      <c r="F8" s="31"/>
      <c r="G8" s="159"/>
      <c r="H8" s="159"/>
      <c r="I8" s="159"/>
      <c r="J8" s="159"/>
      <c r="K8" s="159"/>
      <c r="L8" s="147"/>
      <c r="M8"/>
      <c r="N8"/>
      <c r="O8"/>
      <c r="P8"/>
      <c r="Q8"/>
      <c r="R8"/>
      <c r="S8"/>
      <c r="T8"/>
      <c r="U8"/>
      <c r="V8"/>
      <c r="W8"/>
      <c r="X8"/>
      <c r="Y8"/>
    </row>
    <row r="9" spans="2:25" s="12" customFormat="1" ht="12.75">
      <c r="B9" s="17" t="s">
        <v>101</v>
      </c>
      <c r="C9" s="94" t="s">
        <v>38</v>
      </c>
      <c r="D9" s="93"/>
      <c r="E9" s="31"/>
      <c r="F9" s="31"/>
      <c r="G9" s="159">
        <f>Ref_Tariff_Capacity!G23</f>
        <v>46476.23</v>
      </c>
      <c r="H9" s="159"/>
      <c r="I9" s="159">
        <f>Ref_Tariff_Capacity!I23</f>
        <v>48800.04</v>
      </c>
      <c r="J9" s="159">
        <f>Ref_Tariff_Capacity!J23</f>
        <v>51240.04</v>
      </c>
      <c r="K9" s="159">
        <f>Ref_Tariff_Capacity!K23</f>
        <v>53802.04</v>
      </c>
      <c r="L9" s="147"/>
      <c r="M9" s="2" t="s">
        <v>92</v>
      </c>
      <c r="N9"/>
      <c r="O9"/>
      <c r="P9"/>
      <c r="Q9"/>
      <c r="R9"/>
      <c r="S9"/>
      <c r="T9"/>
      <c r="U9"/>
      <c r="V9"/>
      <c r="W9"/>
      <c r="X9"/>
      <c r="Y9"/>
    </row>
    <row r="10" spans="2:25" s="12" customFormat="1" ht="12.75">
      <c r="B10" s="17" t="s">
        <v>102</v>
      </c>
      <c r="C10" s="94"/>
      <c r="D10" s="93"/>
      <c r="E10" s="31"/>
      <c r="F10" s="31"/>
      <c r="G10" s="159"/>
      <c r="H10" s="159"/>
      <c r="I10" s="159"/>
      <c r="J10" s="159"/>
      <c r="K10" s="159"/>
      <c r="L10" s="147"/>
      <c r="M10" s="2"/>
      <c r="N10"/>
      <c r="O10"/>
      <c r="P10" s="142" t="s">
        <v>132</v>
      </c>
      <c r="Q10"/>
      <c r="R10"/>
      <c r="S10"/>
      <c r="T10"/>
      <c r="U10"/>
      <c r="V10"/>
      <c r="W10"/>
      <c r="X10"/>
      <c r="Y10"/>
    </row>
    <row r="11" spans="2:25" s="12" customFormat="1" ht="12.75">
      <c r="B11" s="17" t="s">
        <v>95</v>
      </c>
      <c r="C11" s="94" t="s">
        <v>93</v>
      </c>
      <c r="D11" s="93"/>
      <c r="E11" s="31"/>
      <c r="F11" s="31"/>
      <c r="G11" s="159">
        <f>Ref_Tariff_Capacity!G25</f>
        <v>182.86</v>
      </c>
      <c r="H11" s="159"/>
      <c r="I11" s="159">
        <f>Ref_Tariff_Capacity!I25</f>
        <v>192</v>
      </c>
      <c r="J11" s="159">
        <f>Ref_Tariff_Capacity!J25</f>
        <v>201.6</v>
      </c>
      <c r="K11" s="159">
        <f>Ref_Tariff_Capacity!K25</f>
        <v>211.68</v>
      </c>
      <c r="L11" s="147"/>
      <c r="M11" s="27" t="s">
        <v>33</v>
      </c>
      <c r="N11" s="93" t="s">
        <v>21</v>
      </c>
      <c r="O11" s="226">
        <f>Ref_Tariff_Capacity!E69</f>
        <v>5.107483540514556</v>
      </c>
      <c r="P11" s="142" t="str">
        <f>Ref_Tariff_Capacity!H69</f>
        <v>Complies</v>
      </c>
      <c r="Q11"/>
      <c r="R11"/>
      <c r="S11"/>
      <c r="T11"/>
      <c r="U11"/>
      <c r="V11"/>
      <c r="W11"/>
      <c r="X11"/>
      <c r="Y11"/>
    </row>
    <row r="12" spans="2:25" s="12" customFormat="1" ht="12.75">
      <c r="B12" s="17" t="s">
        <v>96</v>
      </c>
      <c r="C12" s="94" t="s">
        <v>93</v>
      </c>
      <c r="D12" s="93"/>
      <c r="E12" s="31"/>
      <c r="F12" s="31"/>
      <c r="G12" s="159">
        <f>Ref_Tariff_Capacity!G26</f>
        <v>91.43</v>
      </c>
      <c r="H12" s="159"/>
      <c r="I12" s="159">
        <f>Ref_Tariff_Capacity!I26</f>
        <v>96</v>
      </c>
      <c r="J12" s="159">
        <f>Ref_Tariff_Capacity!J26</f>
        <v>100.8</v>
      </c>
      <c r="K12" s="159">
        <f>Ref_Tariff_Capacity!K26</f>
        <v>105.84</v>
      </c>
      <c r="L12" s="147"/>
      <c r="M12" s="27" t="s">
        <v>34</v>
      </c>
      <c r="N12" s="93" t="s">
        <v>21</v>
      </c>
      <c r="O12" s="226">
        <f>Ref_Tariff_Capacity!E70</f>
        <v>1.6866147455046725</v>
      </c>
      <c r="P12" s="142" t="str">
        <f>Ref_Tariff_Capacity!H70</f>
        <v>Complies</v>
      </c>
      <c r="Q12"/>
      <c r="R12"/>
      <c r="S12"/>
      <c r="T12"/>
      <c r="U12"/>
      <c r="V12"/>
      <c r="W12"/>
      <c r="X12"/>
      <c r="Y12"/>
    </row>
    <row r="13" spans="2:25" s="12" customFormat="1" ht="12.75">
      <c r="B13" s="17" t="s">
        <v>103</v>
      </c>
      <c r="C13" s="94"/>
      <c r="D13" s="93"/>
      <c r="E13" s="31"/>
      <c r="F13" s="31"/>
      <c r="G13" s="159"/>
      <c r="H13" s="159"/>
      <c r="I13" s="159"/>
      <c r="J13" s="159"/>
      <c r="K13" s="159"/>
      <c r="L13" s="147"/>
      <c r="M13" s="27" t="s">
        <v>36</v>
      </c>
      <c r="N13" s="93" t="s">
        <v>21</v>
      </c>
      <c r="O13" s="226">
        <f>Ref_Tariff_Capacity!E71</f>
        <v>3.670442513944054</v>
      </c>
      <c r="P13" s="142" t="str">
        <f>Ref_Tariff_Capacity!H71</f>
        <v>Complies</v>
      </c>
      <c r="Q13"/>
      <c r="R13"/>
      <c r="S13"/>
      <c r="T13"/>
      <c r="U13"/>
      <c r="V13"/>
      <c r="W13"/>
      <c r="X13"/>
      <c r="Y13"/>
    </row>
    <row r="14" spans="2:25" s="12" customFormat="1" ht="12.75">
      <c r="B14" s="17" t="s">
        <v>95</v>
      </c>
      <c r="C14" s="94" t="s">
        <v>93</v>
      </c>
      <c r="D14" s="93"/>
      <c r="E14" s="31"/>
      <c r="F14" s="31"/>
      <c r="G14" s="163">
        <f>Ref_Tariff_Capacity!G28</f>
        <v>0.0446</v>
      </c>
      <c r="H14" s="163"/>
      <c r="I14" s="163">
        <f>Ref_Tariff_Capacity!I28</f>
        <v>0.04683</v>
      </c>
      <c r="J14" s="163">
        <f>Ref_Tariff_Capacity!J28</f>
        <v>0.04917</v>
      </c>
      <c r="K14" s="163">
        <f>Ref_Tariff_Capacity!K28</f>
        <v>0.05163</v>
      </c>
      <c r="L14" s="147"/>
      <c r="M14" s="27" t="s">
        <v>37</v>
      </c>
      <c r="N14" s="93" t="s">
        <v>21</v>
      </c>
      <c r="O14" s="226">
        <f>Ref_Tariff_Capacity!E72</f>
        <v>3.1558904503178917</v>
      </c>
      <c r="P14" s="142" t="str">
        <f>Ref_Tariff_Capacity!H72</f>
        <v>Complies</v>
      </c>
      <c r="Q14"/>
      <c r="R14"/>
      <c r="S14"/>
      <c r="T14"/>
      <c r="U14"/>
      <c r="V14"/>
      <c r="W14"/>
      <c r="X14"/>
      <c r="Y14"/>
    </row>
    <row r="15" spans="2:25" s="12" customFormat="1" ht="12.75">
      <c r="B15" s="17" t="s">
        <v>96</v>
      </c>
      <c r="C15" s="94" t="s">
        <v>93</v>
      </c>
      <c r="D15" s="93"/>
      <c r="E15" s="31"/>
      <c r="F15" s="31"/>
      <c r="G15" s="163">
        <f>Ref_Tariff_Capacity!G29</f>
        <v>0.0223</v>
      </c>
      <c r="H15" s="163"/>
      <c r="I15" s="163">
        <f>Ref_Tariff_Capacity!I29</f>
        <v>0.02342</v>
      </c>
      <c r="J15" s="163">
        <f>Ref_Tariff_Capacity!J29</f>
        <v>0.02459</v>
      </c>
      <c r="K15" s="163">
        <f>Ref_Tariff_Capacity!K29</f>
        <v>0.02582</v>
      </c>
      <c r="L15" s="147"/>
      <c r="M15" s="27" t="s">
        <v>35</v>
      </c>
      <c r="N15" s="93" t="s">
        <v>21</v>
      </c>
      <c r="O15" s="226">
        <f>Ref_Tariff_Capacity!E73</f>
        <v>58.066746488156895</v>
      </c>
      <c r="P15" s="142" t="str">
        <f>Ref_Tariff_Capacity!H73</f>
        <v>Complies</v>
      </c>
      <c r="Q15"/>
      <c r="R15"/>
      <c r="S15"/>
      <c r="T15"/>
      <c r="U15"/>
      <c r="V15"/>
      <c r="W15"/>
      <c r="X15"/>
      <c r="Y15"/>
    </row>
    <row r="16" spans="3:25" s="12" customFormat="1" ht="12.75">
      <c r="C16" s="93"/>
      <c r="D16" s="93"/>
      <c r="E16" s="31"/>
      <c r="F16" s="31"/>
      <c r="G16" s="31"/>
      <c r="H16" s="161"/>
      <c r="I16" s="31"/>
      <c r="J16" s="31"/>
      <c r="K16" s="31"/>
      <c r="L16" s="147"/>
      <c r="N16" s="93"/>
      <c r="O16"/>
      <c r="P16"/>
      <c r="Q16"/>
      <c r="R16"/>
      <c r="S16"/>
      <c r="T16"/>
      <c r="U16"/>
      <c r="V16"/>
      <c r="W16"/>
      <c r="X16"/>
      <c r="Y16"/>
    </row>
    <row r="17" spans="2:25" s="12" customFormat="1" ht="12.75">
      <c r="B17" s="12" t="s">
        <v>52</v>
      </c>
      <c r="C17" s="93"/>
      <c r="D17" s="93"/>
      <c r="E17" s="31"/>
      <c r="F17" s="31"/>
      <c r="G17" s="31"/>
      <c r="H17" s="161"/>
      <c r="I17" s="31"/>
      <c r="J17" s="31"/>
      <c r="K17" s="31"/>
      <c r="L17" s="147"/>
      <c r="N17" s="93"/>
      <c r="O17"/>
      <c r="P17"/>
      <c r="Q17"/>
      <c r="R17"/>
      <c r="S17"/>
      <c r="T17"/>
      <c r="U17"/>
      <c r="V17"/>
      <c r="W17"/>
      <c r="X17"/>
      <c r="Y17"/>
    </row>
    <row r="18" spans="2:25" s="12" customFormat="1" ht="12.75">
      <c r="B18" s="27" t="s">
        <v>101</v>
      </c>
      <c r="C18" s="93" t="s">
        <v>38</v>
      </c>
      <c r="D18" s="93"/>
      <c r="E18" s="31"/>
      <c r="F18" s="31"/>
      <c r="G18" s="159">
        <f>Ref_Tariff_Capacity!G32</f>
        <v>34115</v>
      </c>
      <c r="H18" s="159"/>
      <c r="I18" s="159">
        <f>Ref_Tariff_Capacity!I32</f>
        <v>35820.75</v>
      </c>
      <c r="J18" s="159">
        <f>Ref_Tariff_Capacity!J32</f>
        <v>37611.79</v>
      </c>
      <c r="K18" s="159">
        <f>Ref_Tariff_Capacity!K32</f>
        <v>39492.38</v>
      </c>
      <c r="L18" s="147"/>
      <c r="M18" s="2" t="s">
        <v>91</v>
      </c>
      <c r="N18" s="93"/>
      <c r="O18"/>
      <c r="P18"/>
      <c r="Q18"/>
      <c r="R18"/>
      <c r="S18"/>
      <c r="T18"/>
      <c r="U18"/>
      <c r="V18"/>
      <c r="W18"/>
      <c r="X18"/>
      <c r="Y18"/>
    </row>
    <row r="19" spans="2:25" s="12" customFormat="1" ht="12.75">
      <c r="B19" s="27" t="s">
        <v>103</v>
      </c>
      <c r="C19" s="93" t="s">
        <v>7</v>
      </c>
      <c r="D19" s="93"/>
      <c r="E19" s="126"/>
      <c r="F19" s="126"/>
      <c r="G19" s="126">
        <f>Ref_Tariff_Capacity!G33</f>
        <v>2.2</v>
      </c>
      <c r="H19" s="161"/>
      <c r="I19" s="126">
        <f>Ref_Tariff_Capacity!I33</f>
        <v>2.31</v>
      </c>
      <c r="J19" s="126">
        <f>Ref_Tariff_Capacity!J33</f>
        <v>2.43</v>
      </c>
      <c r="K19" s="126">
        <f>Ref_Tariff_Capacity!K33</f>
        <v>2.55</v>
      </c>
      <c r="L19" s="147"/>
      <c r="N19" s="93"/>
      <c r="O19"/>
      <c r="P19" s="142" t="s">
        <v>133</v>
      </c>
      <c r="Q19"/>
      <c r="R19"/>
      <c r="S19"/>
      <c r="T19"/>
      <c r="U19"/>
      <c r="V19"/>
      <c r="W19"/>
      <c r="X19"/>
      <c r="Y19"/>
    </row>
    <row r="20" spans="3:25" s="12" customFormat="1" ht="12.75">
      <c r="C20" s="93"/>
      <c r="D20" s="93"/>
      <c r="E20" s="31"/>
      <c r="F20" s="31"/>
      <c r="G20" s="31"/>
      <c r="H20" s="161"/>
      <c r="I20" s="31"/>
      <c r="J20" s="31"/>
      <c r="K20" s="31"/>
      <c r="L20" s="147"/>
      <c r="M20" s="27" t="s">
        <v>33</v>
      </c>
      <c r="N20" s="93" t="s">
        <v>21</v>
      </c>
      <c r="O20" s="226">
        <f>Ref_Tariff_Capacity!E78</f>
        <v>241.22760678445053</v>
      </c>
      <c r="P20" s="142" t="str">
        <f>Ref_Tariff_Capacity!H78</f>
        <v>Complies</v>
      </c>
      <c r="Q20"/>
      <c r="R20"/>
      <c r="S20"/>
      <c r="T20"/>
      <c r="U20"/>
      <c r="V20"/>
      <c r="W20"/>
      <c r="X20"/>
      <c r="Y20"/>
    </row>
    <row r="21" spans="2:25" s="12" customFormat="1" ht="12.75">
      <c r="B21" s="12" t="s">
        <v>53</v>
      </c>
      <c r="C21" s="93"/>
      <c r="D21" s="93"/>
      <c r="E21" s="31"/>
      <c r="F21" s="31"/>
      <c r="G21" s="31"/>
      <c r="H21" s="161"/>
      <c r="I21" s="31"/>
      <c r="J21" s="31"/>
      <c r="K21" s="31"/>
      <c r="L21" s="147"/>
      <c r="M21" s="27" t="s">
        <v>34</v>
      </c>
      <c r="N21" s="93" t="s">
        <v>21</v>
      </c>
      <c r="O21" s="226">
        <f>Ref_Tariff_Capacity!E79</f>
        <v>361.2030229566409</v>
      </c>
      <c r="P21" s="142" t="str">
        <f>Ref_Tariff_Capacity!H79</f>
        <v>Complies</v>
      </c>
      <c r="Q21"/>
      <c r="R21"/>
      <c r="S21"/>
      <c r="T21"/>
      <c r="U21"/>
      <c r="V21"/>
      <c r="W21"/>
      <c r="X21"/>
      <c r="Y21"/>
    </row>
    <row r="22" spans="2:25" s="12" customFormat="1" ht="12.75">
      <c r="B22" s="27" t="s">
        <v>101</v>
      </c>
      <c r="C22" s="93" t="s">
        <v>38</v>
      </c>
      <c r="D22" s="93"/>
      <c r="E22" s="31"/>
      <c r="F22" s="31"/>
      <c r="G22" s="159">
        <f>Ref_Tariff_Capacity!G36</f>
        <v>1165.5</v>
      </c>
      <c r="H22" s="159"/>
      <c r="I22" s="159">
        <f>Ref_Tariff_Capacity!I36</f>
        <v>1223.78</v>
      </c>
      <c r="J22" s="159">
        <f>Ref_Tariff_Capacity!J36</f>
        <v>1284.97</v>
      </c>
      <c r="K22" s="159">
        <f>Ref_Tariff_Capacity!K36</f>
        <v>1349.22</v>
      </c>
      <c r="L22" s="147"/>
      <c r="M22" s="27" t="s">
        <v>36</v>
      </c>
      <c r="N22" s="93" t="s">
        <v>21</v>
      </c>
      <c r="O22" s="226">
        <f>Ref_Tariff_Capacity!E80</f>
        <v>436.69592737333835</v>
      </c>
      <c r="P22" s="142" t="str">
        <f>Ref_Tariff_Capacity!H80</f>
        <v>Complies</v>
      </c>
      <c r="Q22"/>
      <c r="R22"/>
      <c r="S22"/>
      <c r="T22"/>
      <c r="U22"/>
      <c r="V22"/>
      <c r="W22"/>
      <c r="X22"/>
      <c r="Y22"/>
    </row>
    <row r="23" spans="2:25" s="12" customFormat="1" ht="12.75">
      <c r="B23" s="27" t="s">
        <v>103</v>
      </c>
      <c r="C23" s="93" t="s">
        <v>7</v>
      </c>
      <c r="D23" s="93"/>
      <c r="E23" s="126"/>
      <c r="F23" s="126"/>
      <c r="G23" s="126">
        <f>Ref_Tariff_Capacity!G37</f>
        <v>5.34</v>
      </c>
      <c r="H23" s="161"/>
      <c r="I23" s="126">
        <f>Ref_Tariff_Capacity!I37</f>
        <v>5.61</v>
      </c>
      <c r="J23" s="126">
        <f>Ref_Tariff_Capacity!J37</f>
        <v>5.89</v>
      </c>
      <c r="K23" s="126">
        <f>Ref_Tariff_Capacity!K37</f>
        <v>6.18</v>
      </c>
      <c r="L23" s="147"/>
      <c r="M23" s="27" t="s">
        <v>37</v>
      </c>
      <c r="N23" s="93" t="s">
        <v>21</v>
      </c>
      <c r="O23" s="226">
        <f>Ref_Tariff_Capacity!E81</f>
        <v>449.4861674939937</v>
      </c>
      <c r="P23" s="142" t="str">
        <f>Ref_Tariff_Capacity!H81</f>
        <v>Complies</v>
      </c>
      <c r="Q23"/>
      <c r="R23"/>
      <c r="S23"/>
      <c r="T23"/>
      <c r="U23"/>
      <c r="V23"/>
      <c r="W23"/>
      <c r="X23"/>
      <c r="Y23"/>
    </row>
    <row r="24" spans="3:25" s="12" customFormat="1" ht="12.75">
      <c r="C24" s="93"/>
      <c r="D24" s="93"/>
      <c r="E24" s="31"/>
      <c r="F24" s="31"/>
      <c r="G24" s="31"/>
      <c r="H24" s="161"/>
      <c r="I24" s="31"/>
      <c r="J24" s="31"/>
      <c r="K24" s="31"/>
      <c r="L24" s="147"/>
      <c r="M24" s="27" t="s">
        <v>35</v>
      </c>
      <c r="N24" s="93" t="s">
        <v>21</v>
      </c>
      <c r="O24" s="226">
        <f>Ref_Tariff_Capacity!E82</f>
        <v>591.1479488089093</v>
      </c>
      <c r="P24" s="142" t="str">
        <f>Ref_Tariff_Capacity!H82</f>
        <v>Complies</v>
      </c>
      <c r="Q24"/>
      <c r="R24"/>
      <c r="S24"/>
      <c r="T24"/>
      <c r="U24"/>
      <c r="V24"/>
      <c r="W24"/>
      <c r="X24"/>
      <c r="Y24"/>
    </row>
    <row r="25" spans="2:25" s="12" customFormat="1" ht="12.75">
      <c r="B25" s="12" t="s">
        <v>54</v>
      </c>
      <c r="C25" s="93"/>
      <c r="D25" s="93"/>
      <c r="E25" s="31"/>
      <c r="F25" s="31"/>
      <c r="G25" s="31"/>
      <c r="H25" s="161"/>
      <c r="I25" s="31"/>
      <c r="J25" s="31"/>
      <c r="K25" s="31"/>
      <c r="L25" s="147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14" s="12" customFormat="1" ht="12.75">
      <c r="B26" s="27" t="s">
        <v>101</v>
      </c>
      <c r="C26" s="93" t="s">
        <v>38</v>
      </c>
      <c r="D26" s="93"/>
      <c r="E26" s="31"/>
      <c r="F26" s="31"/>
      <c r="G26" s="159">
        <f>Ref_Tariff_Capacity!G40</f>
        <v>270</v>
      </c>
      <c r="H26" s="159"/>
      <c r="I26" s="159">
        <f>Ref_Tariff_Capacity!I40</f>
        <v>283.5</v>
      </c>
      <c r="J26" s="159">
        <f>Ref_Tariff_Capacity!J40</f>
        <v>297.68</v>
      </c>
      <c r="K26" s="159">
        <f>Ref_Tariff_Capacity!K40</f>
        <v>312.56</v>
      </c>
      <c r="L26" s="147"/>
      <c r="M26" s="2" t="s">
        <v>131</v>
      </c>
      <c r="N26" s="93"/>
    </row>
    <row r="27" spans="2:14" s="12" customFormat="1" ht="12.75">
      <c r="B27" s="27" t="s">
        <v>103</v>
      </c>
      <c r="C27" s="93" t="s">
        <v>7</v>
      </c>
      <c r="D27" s="93"/>
      <c r="E27" s="126"/>
      <c r="F27" s="126"/>
      <c r="G27" s="126">
        <f>Ref_Tariff_Capacity!G41</f>
        <v>7</v>
      </c>
      <c r="H27" s="161"/>
      <c r="I27" s="126">
        <f>Ref_Tariff_Capacity!I41</f>
        <v>7.35</v>
      </c>
      <c r="J27" s="126">
        <f>Ref_Tariff_Capacity!J41</f>
        <v>7.72</v>
      </c>
      <c r="K27" s="126">
        <f>Ref_Tariff_Capacity!K41</f>
        <v>8.11</v>
      </c>
      <c r="L27" s="147"/>
      <c r="M27" s="2"/>
      <c r="N27" s="93"/>
    </row>
    <row r="28" spans="3:15" s="12" customFormat="1" ht="12.75">
      <c r="C28" s="93"/>
      <c r="D28" s="93"/>
      <c r="E28" s="31"/>
      <c r="F28" s="31"/>
      <c r="G28" s="31"/>
      <c r="H28" s="161"/>
      <c r="I28" s="31"/>
      <c r="J28" s="31"/>
      <c r="K28" s="31"/>
      <c r="L28" s="147"/>
      <c r="M28" s="27" t="s">
        <v>33</v>
      </c>
      <c r="N28" s="93" t="s">
        <v>21</v>
      </c>
      <c r="O28" s="227">
        <f>Ref_Tariff_Capacity!E59</f>
        <v>23.578458720399503</v>
      </c>
    </row>
    <row r="29" spans="2:15" s="12" customFormat="1" ht="12.75">
      <c r="B29" s="12" t="s">
        <v>55</v>
      </c>
      <c r="C29" s="93"/>
      <c r="D29" s="93"/>
      <c r="E29" s="31"/>
      <c r="F29" s="31"/>
      <c r="G29" s="31"/>
      <c r="H29" s="161"/>
      <c r="I29" s="31"/>
      <c r="J29" s="31"/>
      <c r="K29" s="31"/>
      <c r="L29" s="147"/>
      <c r="M29" s="27" t="s">
        <v>34</v>
      </c>
      <c r="N29" s="93" t="s">
        <v>21</v>
      </c>
      <c r="O29" s="227">
        <f>Ref_Tariff_Capacity!E60</f>
        <v>25.411071743783168</v>
      </c>
    </row>
    <row r="30" spans="2:15" s="12" customFormat="1" ht="12.75">
      <c r="B30" s="27" t="s">
        <v>101</v>
      </c>
      <c r="C30" s="93" t="s">
        <v>38</v>
      </c>
      <c r="D30" s="93"/>
      <c r="E30" s="31"/>
      <c r="F30" s="31"/>
      <c r="G30" s="159">
        <f>Ref_Tariff_Capacity!G44</f>
        <v>70</v>
      </c>
      <c r="H30" s="159"/>
      <c r="I30" s="159">
        <f>Ref_Tariff_Capacity!I44</f>
        <v>72.8</v>
      </c>
      <c r="J30" s="159">
        <f>Ref_Tariff_Capacity!J44</f>
        <v>77.9</v>
      </c>
      <c r="K30" s="159">
        <f>Ref_Tariff_Capacity!K44</f>
        <v>83.35</v>
      </c>
      <c r="L30" s="147"/>
      <c r="M30" s="27" t="s">
        <v>36</v>
      </c>
      <c r="N30" s="93" t="s">
        <v>21</v>
      </c>
      <c r="O30" s="227">
        <f>Ref_Tariff_Capacity!E61</f>
        <v>37.105888427621224</v>
      </c>
    </row>
    <row r="31" spans="2:15" s="12" customFormat="1" ht="12.75">
      <c r="B31" s="27" t="s">
        <v>103</v>
      </c>
      <c r="C31" s="93" t="s">
        <v>7</v>
      </c>
      <c r="D31" s="93"/>
      <c r="E31" s="126"/>
      <c r="F31" s="126"/>
      <c r="G31" s="126">
        <f>Ref_Tariff_Capacity!G45</f>
        <v>9.5</v>
      </c>
      <c r="H31" s="161"/>
      <c r="I31" s="126">
        <f>Ref_Tariff_Capacity!I45</f>
        <v>9.88</v>
      </c>
      <c r="J31" s="126">
        <f>Ref_Tariff_Capacity!J45</f>
        <v>10.57</v>
      </c>
      <c r="K31" s="126">
        <f>Ref_Tariff_Capacity!K45</f>
        <v>11.31</v>
      </c>
      <c r="L31" s="147"/>
      <c r="M31" s="27" t="s">
        <v>37</v>
      </c>
      <c r="N31" s="93" t="s">
        <v>21</v>
      </c>
      <c r="O31" s="227">
        <f>Ref_Tariff_Capacity!E62</f>
        <v>35.620691272231966</v>
      </c>
    </row>
    <row r="32" spans="3:15" s="12" customFormat="1" ht="13.5" thickBo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7" t="s">
        <v>35</v>
      </c>
      <c r="N32" s="93" t="s">
        <v>21</v>
      </c>
      <c r="O32" s="228">
        <f>Ref_Tariff_Capacity!E63</f>
        <v>491.5074750607397</v>
      </c>
    </row>
    <row r="33" spans="2:14" s="12" customFormat="1" ht="12.75">
      <c r="B33" s="2" t="s">
        <v>87</v>
      </c>
      <c r="C33" s="134" t="s">
        <v>21</v>
      </c>
      <c r="D33"/>
      <c r="E33" s="126"/>
      <c r="F33" s="126"/>
      <c r="G33" s="126"/>
      <c r="H33" s="31"/>
      <c r="I33" s="126"/>
      <c r="N33" s="93"/>
    </row>
    <row r="34" spans="2:15" s="12" customFormat="1" ht="12.75">
      <c r="B34" s="2" t="s">
        <v>136</v>
      </c>
      <c r="C34" s="134"/>
      <c r="D34"/>
      <c r="E34" s="126"/>
      <c r="F34" s="126"/>
      <c r="G34" s="126"/>
      <c r="H34" s="31"/>
      <c r="I34" s="126"/>
      <c r="N34" s="93" t="s">
        <v>21</v>
      </c>
      <c r="O34" s="227">
        <f>SUM(O28:O33)</f>
        <v>613.2235852247755</v>
      </c>
    </row>
    <row r="35" spans="2:9" s="12" customFormat="1" ht="12.75">
      <c r="B35" s="12" t="s">
        <v>89</v>
      </c>
      <c r="C35" s="156">
        <f>Ref_Tariff_Capacity!E65</f>
        <v>613.2235852247755</v>
      </c>
      <c r="D35"/>
      <c r="F35" s="126"/>
      <c r="G35" s="126"/>
      <c r="H35" s="126"/>
      <c r="I35" s="126"/>
    </row>
    <row r="36" spans="2:9" s="12" customFormat="1" ht="12.75">
      <c r="B36" s="12" t="s">
        <v>58</v>
      </c>
      <c r="C36" s="145">
        <f>Ref_Tariff_Capacity!E18</f>
        <v>624.7020078119165</v>
      </c>
      <c r="D36"/>
      <c r="F36"/>
      <c r="H36" s="126"/>
      <c r="I36" s="126"/>
    </row>
    <row r="37" spans="2:9" s="12" customFormat="1" ht="25.5">
      <c r="B37" s="154" t="s">
        <v>141</v>
      </c>
      <c r="C37" s="145">
        <f>SUMPRODUCT(Ref_Tariff_Capacity!$E$6:$K$6,'Data Input'!$F$182:$L$182)</f>
        <v>11.478282722027114</v>
      </c>
      <c r="D37"/>
      <c r="F37"/>
      <c r="H37" s="126"/>
      <c r="I37" s="126"/>
    </row>
    <row r="38" spans="2:9" s="12" customFormat="1" ht="12.75">
      <c r="B38" s="12" t="s">
        <v>142</v>
      </c>
      <c r="C38" s="155">
        <f>C36-C37</f>
        <v>613.2237250898894</v>
      </c>
      <c r="D38"/>
      <c r="F38"/>
      <c r="H38" s="126"/>
      <c r="I38" s="126"/>
    </row>
    <row r="39" spans="2:14" s="12" customFormat="1" ht="16.5" thickBot="1">
      <c r="B39" s="12" t="s">
        <v>84</v>
      </c>
      <c r="C39" s="162">
        <f>C35-C38</f>
        <v>-0.0001398651138515561</v>
      </c>
      <c r="D39" s="146"/>
      <c r="E39" s="206" t="str">
        <f>IF(ABS(C39)&gt;0.0002,"Breach: Reset reference tariffs so that Expected reveneue at reference tariffs equals Nett required reference tariff revenue","Expected reveneue at reference tariffs equals Nett required reference tariff revenue")</f>
        <v>Expected reveneue at reference tariffs equals Nett required reference tariff revenue</v>
      </c>
      <c r="F39"/>
      <c r="G39"/>
      <c r="H39"/>
      <c r="I39"/>
      <c r="J39"/>
      <c r="K39"/>
      <c r="L39"/>
      <c r="M39"/>
      <c r="N39"/>
    </row>
    <row r="40" spans="2:14" s="12" customFormat="1" ht="13.5" thickTop="1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3:9" s="12" customFormat="1" ht="18">
      <c r="C41" s="148"/>
      <c r="D41" s="126"/>
      <c r="E41" s="126"/>
      <c r="F41" s="126"/>
      <c r="G41" s="126"/>
      <c r="H41" s="126"/>
      <c r="I41" s="126"/>
    </row>
    <row r="42" spans="2:9" s="12" customFormat="1" ht="12.75">
      <c r="B42" s="2"/>
      <c r="C42" s="126"/>
      <c r="D42" s="126"/>
      <c r="E42" s="126"/>
      <c r="F42" s="126"/>
      <c r="G42" s="126"/>
      <c r="H42" s="126"/>
      <c r="I42" s="126"/>
    </row>
    <row r="43" spans="2:9" s="12" customFormat="1" ht="12.75">
      <c r="B43" s="2" t="s">
        <v>125</v>
      </c>
      <c r="C43" s="135" t="s">
        <v>114</v>
      </c>
      <c r="D43" s="126"/>
      <c r="E43" s="135" t="s">
        <v>116</v>
      </c>
      <c r="F43" s="135" t="s">
        <v>117</v>
      </c>
      <c r="G43" s="135"/>
      <c r="H43" s="135"/>
      <c r="I43" s="135"/>
    </row>
    <row r="44" spans="2:9" s="12" customFormat="1" ht="12.75">
      <c r="B44" s="2" t="s">
        <v>121</v>
      </c>
      <c r="C44" s="134" t="s">
        <v>115</v>
      </c>
      <c r="D44" s="126"/>
      <c r="E44" s="134" t="s">
        <v>7</v>
      </c>
      <c r="F44" s="134" t="s">
        <v>7</v>
      </c>
      <c r="G44" s="134"/>
      <c r="H44" s="134"/>
      <c r="I44" s="134"/>
    </row>
    <row r="45" spans="3:9" s="12" customFormat="1" ht="12.75">
      <c r="C45" s="126"/>
      <c r="D45" s="126"/>
      <c r="E45" s="134"/>
      <c r="F45" s="134"/>
      <c r="G45" s="134"/>
      <c r="H45" s="134"/>
      <c r="I45" s="134"/>
    </row>
    <row r="46" spans="3:9" s="12" customFormat="1" ht="12.75">
      <c r="C46" s="136">
        <v>2</v>
      </c>
      <c r="D46" s="134"/>
      <c r="E46" s="31">
        <f>(Ref_Tariff_Capacity!$G$44+Ref_Tariff_Capacity!$G$45*C46)/C46</f>
        <v>44.5</v>
      </c>
      <c r="F46" s="31">
        <f>(Ref_Tariff_Capacity!$G$40+Ref_Tariff_Capacity!$G$41*C46)/C46</f>
        <v>142</v>
      </c>
      <c r="G46" s="31"/>
      <c r="H46" s="31"/>
      <c r="I46" s="126"/>
    </row>
    <row r="47" spans="3:9" s="12" customFormat="1" ht="12.75">
      <c r="C47" s="136">
        <f aca="true" t="shared" si="0" ref="C47:C68">C46+2</f>
        <v>4</v>
      </c>
      <c r="D47" s="134"/>
      <c r="E47" s="31">
        <f>(Ref_Tariff_Capacity!$G$44+Ref_Tariff_Capacity!$G$45*C47)/C47</f>
        <v>27</v>
      </c>
      <c r="F47" s="31">
        <f>(Ref_Tariff_Capacity!$G$40+Ref_Tariff_Capacity!$G$41*C47)/C47</f>
        <v>74.5</v>
      </c>
      <c r="G47" s="31"/>
      <c r="H47" s="31"/>
      <c r="I47" s="126"/>
    </row>
    <row r="48" spans="2:9" s="12" customFormat="1" ht="12.75">
      <c r="B48" s="2"/>
      <c r="C48" s="136">
        <f t="shared" si="0"/>
        <v>6</v>
      </c>
      <c r="D48" s="134"/>
      <c r="E48" s="31">
        <f>(Ref_Tariff_Capacity!$G$44+Ref_Tariff_Capacity!$G$45*C48)/C48</f>
        <v>21.166666666666668</v>
      </c>
      <c r="F48" s="31">
        <f>(Ref_Tariff_Capacity!$G$40+Ref_Tariff_Capacity!$G$41*C48)/C48</f>
        <v>52</v>
      </c>
      <c r="G48" s="31"/>
      <c r="H48" s="31"/>
      <c r="I48" s="126"/>
    </row>
    <row r="49" spans="3:9" s="12" customFormat="1" ht="12.75">
      <c r="C49" s="136">
        <f t="shared" si="0"/>
        <v>8</v>
      </c>
      <c r="D49" s="134"/>
      <c r="E49" s="31">
        <f>(Ref_Tariff_Capacity!$G$44+Ref_Tariff_Capacity!$G$45*C49)/C49</f>
        <v>18.25</v>
      </c>
      <c r="F49" s="31">
        <f>(Ref_Tariff_Capacity!$G$40+Ref_Tariff_Capacity!$G$41*C49)/C49</f>
        <v>40.75</v>
      </c>
      <c r="G49" s="31"/>
      <c r="H49" s="31"/>
      <c r="I49" s="126"/>
    </row>
    <row r="50" spans="3:9" s="12" customFormat="1" ht="12.75">
      <c r="C50" s="136">
        <f t="shared" si="0"/>
        <v>10</v>
      </c>
      <c r="D50" s="134"/>
      <c r="E50" s="31">
        <f>(Ref_Tariff_Capacity!$G$44+Ref_Tariff_Capacity!$G$45*C50)/C50</f>
        <v>16.5</v>
      </c>
      <c r="F50" s="31">
        <f>(Ref_Tariff_Capacity!$G$40+Ref_Tariff_Capacity!$G$41*C50)/C50</f>
        <v>34</v>
      </c>
      <c r="G50" s="31"/>
      <c r="H50" s="31"/>
      <c r="I50" s="126"/>
    </row>
    <row r="51" spans="3:9" s="12" customFormat="1" ht="12.75">
      <c r="C51" s="136">
        <f t="shared" si="0"/>
        <v>12</v>
      </c>
      <c r="D51" s="134"/>
      <c r="E51" s="31">
        <f>(Ref_Tariff_Capacity!$G$44+Ref_Tariff_Capacity!$G$45*C51)/C51</f>
        <v>15.333333333333334</v>
      </c>
      <c r="F51" s="31">
        <f>(Ref_Tariff_Capacity!$G$40+Ref_Tariff_Capacity!$G$41*C51)/C51</f>
        <v>29.5</v>
      </c>
      <c r="G51" s="31"/>
      <c r="H51" s="31"/>
      <c r="I51" s="126"/>
    </row>
    <row r="52" spans="3:9" s="12" customFormat="1" ht="12.75">
      <c r="C52" s="136">
        <f t="shared" si="0"/>
        <v>14</v>
      </c>
      <c r="D52" s="134"/>
      <c r="E52" s="31">
        <f>(Ref_Tariff_Capacity!$G$44+Ref_Tariff_Capacity!$G$45*C52)/C52</f>
        <v>14.5</v>
      </c>
      <c r="F52" s="31">
        <f>(Ref_Tariff_Capacity!$G$40+Ref_Tariff_Capacity!$G$41*C52)/C52</f>
        <v>26.285714285714285</v>
      </c>
      <c r="G52" s="31"/>
      <c r="H52" s="31"/>
      <c r="I52" s="126"/>
    </row>
    <row r="53" spans="2:9" s="12" customFormat="1" ht="12.75">
      <c r="B53" s="2"/>
      <c r="C53" s="136">
        <f t="shared" si="0"/>
        <v>16</v>
      </c>
      <c r="D53" s="134"/>
      <c r="E53" s="31">
        <f>(Ref_Tariff_Capacity!$G$44+Ref_Tariff_Capacity!$G$45*C53)/C53</f>
        <v>13.875</v>
      </c>
      <c r="F53" s="31">
        <f>(Ref_Tariff_Capacity!$G$40+Ref_Tariff_Capacity!$G$41*C53)/C53</f>
        <v>23.875</v>
      </c>
      <c r="G53" s="31"/>
      <c r="H53" s="31"/>
      <c r="I53" s="126"/>
    </row>
    <row r="54" spans="3:9" s="12" customFormat="1" ht="12.75">
      <c r="C54" s="136">
        <f t="shared" si="0"/>
        <v>18</v>
      </c>
      <c r="D54" s="134"/>
      <c r="E54" s="31">
        <f>(Ref_Tariff_Capacity!$G$44+Ref_Tariff_Capacity!$G$45*C54)/C54</f>
        <v>13.38888888888889</v>
      </c>
      <c r="F54" s="31">
        <f>(Ref_Tariff_Capacity!$G$40+Ref_Tariff_Capacity!$G$41*C54)/C54</f>
        <v>22</v>
      </c>
      <c r="G54" s="31"/>
      <c r="H54" s="31"/>
      <c r="I54" s="126"/>
    </row>
    <row r="55" spans="3:9" s="12" customFormat="1" ht="12.75">
      <c r="C55" s="136">
        <f t="shared" si="0"/>
        <v>20</v>
      </c>
      <c r="D55" s="134"/>
      <c r="E55" s="31">
        <f>(Ref_Tariff_Capacity!$G$44+Ref_Tariff_Capacity!$G$45*C55)/C55</f>
        <v>13</v>
      </c>
      <c r="F55" s="31">
        <f>(Ref_Tariff_Capacity!$G$40+Ref_Tariff_Capacity!$G$41*C55)/C55</f>
        <v>20.5</v>
      </c>
      <c r="G55" s="31"/>
      <c r="H55" s="31"/>
      <c r="I55" s="126"/>
    </row>
    <row r="56" spans="3:9" s="12" customFormat="1" ht="12.75">
      <c r="C56" s="136">
        <f t="shared" si="0"/>
        <v>22</v>
      </c>
      <c r="D56" s="134"/>
      <c r="E56" s="31">
        <f>(Ref_Tariff_Capacity!$G$44+Ref_Tariff_Capacity!$G$45*C56)/C56</f>
        <v>12.681818181818182</v>
      </c>
      <c r="F56" s="31">
        <f>(Ref_Tariff_Capacity!$G$40+Ref_Tariff_Capacity!$G$41*C56)/C56</f>
        <v>19.272727272727273</v>
      </c>
      <c r="G56" s="31"/>
      <c r="H56" s="31"/>
      <c r="I56" s="126"/>
    </row>
    <row r="57" spans="2:9" s="12" customFormat="1" ht="12.75">
      <c r="B57" s="2"/>
      <c r="C57" s="136">
        <f t="shared" si="0"/>
        <v>24</v>
      </c>
      <c r="D57" s="134"/>
      <c r="E57" s="31">
        <f>(Ref_Tariff_Capacity!$G$44+Ref_Tariff_Capacity!$G$45*C57)/C57</f>
        <v>12.416666666666666</v>
      </c>
      <c r="F57" s="31">
        <f>(Ref_Tariff_Capacity!$G$40+Ref_Tariff_Capacity!$G$41*C57)/C57</f>
        <v>18.25</v>
      </c>
      <c r="G57" s="31"/>
      <c r="H57" s="31"/>
      <c r="I57" s="126"/>
    </row>
    <row r="58" spans="3:9" s="12" customFormat="1" ht="12.75">
      <c r="C58" s="136">
        <f t="shared" si="0"/>
        <v>26</v>
      </c>
      <c r="D58" s="134"/>
      <c r="E58" s="31">
        <f>(Ref_Tariff_Capacity!$G$44+Ref_Tariff_Capacity!$G$45*C58)/C58</f>
        <v>12.192307692307692</v>
      </c>
      <c r="F58" s="31">
        <f>(Ref_Tariff_Capacity!$G$40+Ref_Tariff_Capacity!$G$41*C58)/C58</f>
        <v>17.384615384615383</v>
      </c>
      <c r="G58" s="31"/>
      <c r="H58" s="31"/>
      <c r="I58" s="126"/>
    </row>
    <row r="59" spans="3:9" s="12" customFormat="1" ht="12.75">
      <c r="C59" s="136">
        <f t="shared" si="0"/>
        <v>28</v>
      </c>
      <c r="D59" s="134"/>
      <c r="E59" s="31">
        <f>(Ref_Tariff_Capacity!$G$44+Ref_Tariff_Capacity!$G$45*C59)/C59</f>
        <v>12</v>
      </c>
      <c r="F59" s="31">
        <f>(Ref_Tariff_Capacity!$G$40+Ref_Tariff_Capacity!$G$41*C59)/C59</f>
        <v>16.642857142857142</v>
      </c>
      <c r="G59" s="31"/>
      <c r="H59" s="31"/>
      <c r="I59" s="126"/>
    </row>
    <row r="60" spans="3:9" s="12" customFormat="1" ht="12.75">
      <c r="C60" s="136">
        <f t="shared" si="0"/>
        <v>30</v>
      </c>
      <c r="D60" s="134"/>
      <c r="E60" s="31">
        <f>(Ref_Tariff_Capacity!$G$44+Ref_Tariff_Capacity!$G$45*C60)/C60</f>
        <v>11.833333333333334</v>
      </c>
      <c r="F60" s="31">
        <f>(Ref_Tariff_Capacity!$G$40+Ref_Tariff_Capacity!$G$41*C60)/C60</f>
        <v>16</v>
      </c>
      <c r="G60" s="31"/>
      <c r="H60" s="31"/>
      <c r="I60" s="126"/>
    </row>
    <row r="61" spans="2:9" s="12" customFormat="1" ht="12.75">
      <c r="B61" s="2"/>
      <c r="C61" s="136">
        <f t="shared" si="0"/>
        <v>32</v>
      </c>
      <c r="D61" s="134"/>
      <c r="E61" s="31">
        <f>(Ref_Tariff_Capacity!$G$44+Ref_Tariff_Capacity!$G$45*C61)/C61</f>
        <v>11.6875</v>
      </c>
      <c r="F61" s="31">
        <f>(Ref_Tariff_Capacity!$G$40+Ref_Tariff_Capacity!$G$41*C61)/C61</f>
        <v>15.4375</v>
      </c>
      <c r="G61" s="31"/>
      <c r="H61" s="31"/>
      <c r="I61" s="126"/>
    </row>
    <row r="62" spans="3:9" s="12" customFormat="1" ht="12.75">
      <c r="C62" s="136">
        <f t="shared" si="0"/>
        <v>34</v>
      </c>
      <c r="D62" s="134"/>
      <c r="E62" s="31">
        <f>(Ref_Tariff_Capacity!$G$44+Ref_Tariff_Capacity!$G$45*C62)/C62</f>
        <v>11.558823529411764</v>
      </c>
      <c r="F62" s="31">
        <f>(Ref_Tariff_Capacity!$G$40+Ref_Tariff_Capacity!$G$41*C62)/C62</f>
        <v>14.941176470588236</v>
      </c>
      <c r="G62" s="31"/>
      <c r="H62" s="31"/>
      <c r="I62" s="126"/>
    </row>
    <row r="63" spans="3:8" ht="12.75">
      <c r="C63" s="136">
        <f t="shared" si="0"/>
        <v>36</v>
      </c>
      <c r="D63" s="134"/>
      <c r="E63" s="31">
        <f>(Ref_Tariff_Capacity!$G$44+Ref_Tariff_Capacity!$G$45*C63)/C63</f>
        <v>11.444444444444445</v>
      </c>
      <c r="F63" s="31">
        <f>(Ref_Tariff_Capacity!$G$40+Ref_Tariff_Capacity!$G$41*C63)/C63</f>
        <v>14.5</v>
      </c>
      <c r="G63" s="31"/>
      <c r="H63" s="31"/>
    </row>
    <row r="64" spans="3:8" ht="12.75">
      <c r="C64" s="136">
        <f t="shared" si="0"/>
        <v>38</v>
      </c>
      <c r="D64" s="134"/>
      <c r="E64" s="31">
        <f>(Ref_Tariff_Capacity!$G$44+Ref_Tariff_Capacity!$G$45*C64)/C64</f>
        <v>11.342105263157896</v>
      </c>
      <c r="F64" s="31">
        <f>(Ref_Tariff_Capacity!$G$40+Ref_Tariff_Capacity!$G$41*C64)/C64</f>
        <v>14.105263157894736</v>
      </c>
      <c r="G64" s="31"/>
      <c r="H64" s="31"/>
    </row>
    <row r="65" spans="3:8" ht="12.75">
      <c r="C65" s="136">
        <f t="shared" si="0"/>
        <v>40</v>
      </c>
      <c r="D65" s="134"/>
      <c r="E65" s="31">
        <f>(Ref_Tariff_Capacity!$G$44+Ref_Tariff_Capacity!$G$45*C65)/C65</f>
        <v>11.25</v>
      </c>
      <c r="F65" s="31">
        <f>(Ref_Tariff_Capacity!$G$40+Ref_Tariff_Capacity!$G$41*C65)/C65</f>
        <v>13.75</v>
      </c>
      <c r="G65" s="31"/>
      <c r="H65" s="31"/>
    </row>
    <row r="66" spans="3:8" ht="12.75">
      <c r="C66" s="136">
        <f t="shared" si="0"/>
        <v>42</v>
      </c>
      <c r="D66" s="134"/>
      <c r="E66" s="31">
        <f>(Ref_Tariff_Capacity!$G$44+Ref_Tariff_Capacity!$G$45*C66)/C66</f>
        <v>11.166666666666666</v>
      </c>
      <c r="F66" s="31">
        <f>(Ref_Tariff_Capacity!$G$40+Ref_Tariff_Capacity!$G$41*C66)/C66</f>
        <v>13.428571428571429</v>
      </c>
      <c r="G66" s="31"/>
      <c r="H66" s="31"/>
    </row>
    <row r="67" spans="3:8" ht="12.75">
      <c r="C67" s="136">
        <f t="shared" si="0"/>
        <v>44</v>
      </c>
      <c r="D67" s="134"/>
      <c r="E67" s="31">
        <f>(Ref_Tariff_Capacity!$G$44+Ref_Tariff_Capacity!$G$45*C67)/C67</f>
        <v>11.090909090909092</v>
      </c>
      <c r="F67" s="31">
        <f>(Ref_Tariff_Capacity!$G$40+Ref_Tariff_Capacity!$G$41*C67)/C67</f>
        <v>13.136363636363637</v>
      </c>
      <c r="G67" s="31"/>
      <c r="H67" s="31"/>
    </row>
    <row r="68" spans="3:8" ht="12.75">
      <c r="C68" s="136">
        <f t="shared" si="0"/>
        <v>46</v>
      </c>
      <c r="D68" s="134"/>
      <c r="E68" s="31">
        <f>(Ref_Tariff_Capacity!$G$44+Ref_Tariff_Capacity!$G$45*C68)/C68</f>
        <v>11.021739130434783</v>
      </c>
      <c r="F68" s="31">
        <f>(Ref_Tariff_Capacity!$G$40+Ref_Tariff_Capacity!$G$41*C68)/C68</f>
        <v>12.869565217391305</v>
      </c>
      <c r="G68" s="31"/>
      <c r="H68" s="31"/>
    </row>
    <row r="69" spans="3:8" ht="12.75">
      <c r="C69" s="136">
        <v>50</v>
      </c>
      <c r="D69" s="134"/>
      <c r="E69" s="31">
        <f>(Ref_Tariff_Capacity!$G$44+Ref_Tariff_Capacity!$G$45*C69)/C69</f>
        <v>10.9</v>
      </c>
      <c r="F69" s="31">
        <f>(Ref_Tariff_Capacity!$G$40+Ref_Tariff_Capacity!$G$41*C69)/C69</f>
        <v>12.4</v>
      </c>
      <c r="G69" s="31"/>
      <c r="H69" s="31"/>
    </row>
    <row r="70" spans="3:6" ht="12.75">
      <c r="C70" s="136">
        <v>55</v>
      </c>
      <c r="E70" s="31">
        <f>(Ref_Tariff_Capacity!$G$44+Ref_Tariff_Capacity!$G$45*C70)/C70</f>
        <v>10.772727272727273</v>
      </c>
      <c r="F70" s="31">
        <f>(Ref_Tariff_Capacity!$G$40+Ref_Tariff_Capacity!$G$41*C70)/C70</f>
        <v>11.909090909090908</v>
      </c>
    </row>
    <row r="71" ht="12.75">
      <c r="C71" s="136"/>
    </row>
    <row r="73" spans="2:6" ht="12.75">
      <c r="B73" s="2" t="s">
        <v>125</v>
      </c>
      <c r="C73" s="135" t="s">
        <v>114</v>
      </c>
      <c r="D73" s="126"/>
      <c r="E73" s="135" t="s">
        <v>117</v>
      </c>
      <c r="F73" s="135" t="s">
        <v>118</v>
      </c>
    </row>
    <row r="74" spans="2:6" ht="12.75">
      <c r="B74" s="2" t="s">
        <v>122</v>
      </c>
      <c r="C74" s="134" t="s">
        <v>115</v>
      </c>
      <c r="D74" s="126"/>
      <c r="E74" s="134" t="s">
        <v>7</v>
      </c>
      <c r="F74" s="134" t="s">
        <v>7</v>
      </c>
    </row>
    <row r="76" spans="3:11" ht="12.75">
      <c r="C76" s="136">
        <v>50</v>
      </c>
      <c r="E76" s="31">
        <f>(Ref_Tariff_Capacity!$G$40+Ref_Tariff_Capacity!$G$41*C76)/C76</f>
        <v>12.4</v>
      </c>
      <c r="F76" s="31">
        <f>('Data Input'!$F$189+Ref_Tariff_Capacity!$G$36+Ref_Tariff_Capacity!$G$37*C76)/C76</f>
        <v>61.29</v>
      </c>
      <c r="G76" s="12"/>
      <c r="H76" s="12"/>
      <c r="I76" s="12"/>
      <c r="J76" s="12"/>
      <c r="K76" s="12"/>
    </row>
    <row r="77" spans="3:11" ht="12.75">
      <c r="C77" s="136">
        <f aca="true" t="shared" si="1" ref="C77:C100">C76+50</f>
        <v>100</v>
      </c>
      <c r="E77" s="31">
        <f>(Ref_Tariff_Capacity!$G$40+Ref_Tariff_Capacity!$G$41*C77)/C77</f>
        <v>9.7</v>
      </c>
      <c r="F77" s="31">
        <f>('Data Input'!$F$189+Ref_Tariff_Capacity!$G$36+Ref_Tariff_Capacity!$G$37*C77)/C77</f>
        <v>33.315</v>
      </c>
      <c r="G77" s="12"/>
      <c r="H77" s="12"/>
      <c r="I77" s="12"/>
      <c r="J77" s="12"/>
      <c r="K77" s="12"/>
    </row>
    <row r="78" spans="3:11" ht="12.75">
      <c r="C78" s="136">
        <f t="shared" si="1"/>
        <v>150</v>
      </c>
      <c r="E78" s="31">
        <f>(Ref_Tariff_Capacity!$G$40+Ref_Tariff_Capacity!$G$41*C78)/C78</f>
        <v>8.8</v>
      </c>
      <c r="F78" s="31">
        <f>('Data Input'!$F$189+Ref_Tariff_Capacity!$G$36+Ref_Tariff_Capacity!$G$37*C78)/C78</f>
        <v>23.99</v>
      </c>
      <c r="G78" s="12"/>
      <c r="H78" s="12"/>
      <c r="I78" s="12"/>
      <c r="J78" s="12"/>
      <c r="K78" s="12"/>
    </row>
    <row r="79" spans="3:11" ht="12.75">
      <c r="C79" s="136">
        <f t="shared" si="1"/>
        <v>200</v>
      </c>
      <c r="E79" s="31">
        <f>(Ref_Tariff_Capacity!$G$40+Ref_Tariff_Capacity!$G$41*C79)/C79</f>
        <v>8.35</v>
      </c>
      <c r="F79" s="31">
        <f>('Data Input'!$F$189+Ref_Tariff_Capacity!$G$36+Ref_Tariff_Capacity!$G$37*C79)/C79</f>
        <v>19.3275</v>
      </c>
      <c r="G79" s="12"/>
      <c r="H79" s="12"/>
      <c r="I79" s="12"/>
      <c r="J79" s="12"/>
      <c r="K79" s="12"/>
    </row>
    <row r="80" spans="3:11" ht="12.75">
      <c r="C80" s="136">
        <f t="shared" si="1"/>
        <v>250</v>
      </c>
      <c r="D80" s="134"/>
      <c r="E80" s="31">
        <f>(Ref_Tariff_Capacity!$G$40+Ref_Tariff_Capacity!$G$41*C80)/C80</f>
        <v>8.08</v>
      </c>
      <c r="F80" s="31">
        <f>('Data Input'!$F$189+Ref_Tariff_Capacity!$G$36+Ref_Tariff_Capacity!$G$37*C80)/C80</f>
        <v>16.53</v>
      </c>
      <c r="G80" s="12"/>
      <c r="H80" s="12"/>
      <c r="I80" s="12"/>
      <c r="J80" s="12"/>
      <c r="K80" s="12"/>
    </row>
    <row r="81" spans="3:11" ht="12.75">
      <c r="C81" s="136">
        <f t="shared" si="1"/>
        <v>300</v>
      </c>
      <c r="E81" s="31">
        <f>(Ref_Tariff_Capacity!$G$40+Ref_Tariff_Capacity!$G$41*C81)/C81</f>
        <v>7.9</v>
      </c>
      <c r="F81" s="31">
        <f>('Data Input'!$F$189+Ref_Tariff_Capacity!$G$36+Ref_Tariff_Capacity!$G$37*C81)/C81</f>
        <v>14.665</v>
      </c>
      <c r="G81" s="12"/>
      <c r="H81" s="12"/>
      <c r="I81" s="12"/>
      <c r="J81" s="12"/>
      <c r="K81" s="12"/>
    </row>
    <row r="82" spans="3:11" ht="12.75">
      <c r="C82" s="136">
        <f t="shared" si="1"/>
        <v>350</v>
      </c>
      <c r="E82" s="31">
        <f>(Ref_Tariff_Capacity!$G$40+Ref_Tariff_Capacity!$G$41*C82)/C82</f>
        <v>7.771428571428571</v>
      </c>
      <c r="F82" s="31">
        <f>('Data Input'!$F$189+Ref_Tariff_Capacity!$G$36+Ref_Tariff_Capacity!$G$37*C82)/C82</f>
        <v>13.332857142857144</v>
      </c>
      <c r="G82" s="12"/>
      <c r="H82" s="12"/>
      <c r="I82" s="12"/>
      <c r="J82" s="12"/>
      <c r="K82" s="12"/>
    </row>
    <row r="83" spans="3:11" ht="12.75">
      <c r="C83" s="136">
        <f t="shared" si="1"/>
        <v>400</v>
      </c>
      <c r="E83" s="31">
        <f>(Ref_Tariff_Capacity!$G$40+Ref_Tariff_Capacity!$G$41*C83)/C83</f>
        <v>7.675</v>
      </c>
      <c r="F83" s="31">
        <f>('Data Input'!$F$189+Ref_Tariff_Capacity!$G$36+Ref_Tariff_Capacity!$G$37*C83)/C83</f>
        <v>12.33375</v>
      </c>
      <c r="G83" s="12"/>
      <c r="H83" s="12"/>
      <c r="I83" s="12"/>
      <c r="J83" s="12"/>
      <c r="K83" s="12"/>
    </row>
    <row r="84" spans="3:11" ht="12.75">
      <c r="C84" s="136">
        <f t="shared" si="1"/>
        <v>450</v>
      </c>
      <c r="E84" s="31">
        <f>(Ref_Tariff_Capacity!$G$40+Ref_Tariff_Capacity!$G$41*C84)/C84</f>
        <v>7.6</v>
      </c>
      <c r="F84" s="31">
        <f>('Data Input'!$F$189+Ref_Tariff_Capacity!$G$36+Ref_Tariff_Capacity!$G$37*C84)/C84</f>
        <v>11.556666666666667</v>
      </c>
      <c r="G84" s="12"/>
      <c r="H84" s="12"/>
      <c r="I84" s="12"/>
      <c r="J84" s="12"/>
      <c r="K84" s="12"/>
    </row>
    <row r="85" spans="3:11" ht="12.75">
      <c r="C85" s="136">
        <f t="shared" si="1"/>
        <v>500</v>
      </c>
      <c r="E85" s="31">
        <f>(Ref_Tariff_Capacity!$G$40+Ref_Tariff_Capacity!$G$41*C85)/C85</f>
        <v>7.54</v>
      </c>
      <c r="F85" s="31">
        <f>('Data Input'!$F$189+Ref_Tariff_Capacity!$G$36+Ref_Tariff_Capacity!$G$37*C85)/C85</f>
        <v>10.935</v>
      </c>
      <c r="G85" s="12"/>
      <c r="H85" s="12"/>
      <c r="I85" s="12"/>
      <c r="J85" s="12"/>
      <c r="K85" s="12"/>
    </row>
    <row r="86" spans="3:11" ht="12.75">
      <c r="C86" s="136">
        <f t="shared" si="1"/>
        <v>550</v>
      </c>
      <c r="E86" s="31">
        <f>(Ref_Tariff_Capacity!$G$40+Ref_Tariff_Capacity!$G$41*C86)/C86</f>
        <v>7.490909090909091</v>
      </c>
      <c r="F86" s="31">
        <f>('Data Input'!$F$189+Ref_Tariff_Capacity!$G$36+Ref_Tariff_Capacity!$G$37*C86)/C86</f>
        <v>10.426363636363636</v>
      </c>
      <c r="G86" s="12"/>
      <c r="H86" s="12"/>
      <c r="I86" s="12"/>
      <c r="J86" s="12"/>
      <c r="K86" s="12"/>
    </row>
    <row r="87" spans="3:11" ht="12.75">
      <c r="C87" s="136">
        <f t="shared" si="1"/>
        <v>600</v>
      </c>
      <c r="E87" s="31">
        <f>(Ref_Tariff_Capacity!$G$40+Ref_Tariff_Capacity!$G$41*C87)/C87</f>
        <v>7.45</v>
      </c>
      <c r="F87" s="31">
        <f>('Data Input'!$F$189+Ref_Tariff_Capacity!$G$36+Ref_Tariff_Capacity!$G$37*C87)/C87</f>
        <v>10.0025</v>
      </c>
      <c r="G87" s="12"/>
      <c r="H87" s="12"/>
      <c r="I87" s="12"/>
      <c r="J87" s="12"/>
      <c r="K87" s="12"/>
    </row>
    <row r="88" spans="3:11" ht="12.75">
      <c r="C88" s="136">
        <f t="shared" si="1"/>
        <v>650</v>
      </c>
      <c r="E88" s="31">
        <f>(Ref_Tariff_Capacity!$G$40+Ref_Tariff_Capacity!$G$41*C88)/C88</f>
        <v>7.415384615384616</v>
      </c>
      <c r="F88" s="31">
        <f>('Data Input'!$F$189+Ref_Tariff_Capacity!$G$36+Ref_Tariff_Capacity!$G$37*C88)/C88</f>
        <v>9.643846153846154</v>
      </c>
      <c r="G88" s="12"/>
      <c r="H88" s="12"/>
      <c r="I88" s="12"/>
      <c r="J88" s="12"/>
      <c r="K88" s="12"/>
    </row>
    <row r="89" spans="3:11" ht="12.75">
      <c r="C89" s="136">
        <f t="shared" si="1"/>
        <v>700</v>
      </c>
      <c r="E89" s="31">
        <f>(Ref_Tariff_Capacity!$G$40+Ref_Tariff_Capacity!$G$41*C89)/C89</f>
        <v>7.385714285714286</v>
      </c>
      <c r="F89" s="31">
        <f>('Data Input'!$F$189+Ref_Tariff_Capacity!$G$36+Ref_Tariff_Capacity!$G$37*C89)/C89</f>
        <v>9.336428571428572</v>
      </c>
      <c r="G89" s="12"/>
      <c r="H89" s="12"/>
      <c r="I89" s="12"/>
      <c r="J89" s="12"/>
      <c r="K89" s="12"/>
    </row>
    <row r="90" spans="3:11" ht="12.75">
      <c r="C90" s="136">
        <f t="shared" si="1"/>
        <v>750</v>
      </c>
      <c r="E90" s="31">
        <f>(Ref_Tariff_Capacity!$G$40+Ref_Tariff_Capacity!$G$41*C90)/C90</f>
        <v>7.36</v>
      </c>
      <c r="F90" s="31">
        <f>('Data Input'!$F$189+Ref_Tariff_Capacity!$G$36+Ref_Tariff_Capacity!$G$37*C90)/C90</f>
        <v>9.07</v>
      </c>
      <c r="G90" s="12"/>
      <c r="H90" s="12"/>
      <c r="I90" s="12"/>
      <c r="J90" s="12"/>
      <c r="K90" s="12"/>
    </row>
    <row r="91" spans="3:11" ht="12.75">
      <c r="C91" s="136">
        <f t="shared" si="1"/>
        <v>800</v>
      </c>
      <c r="E91" s="31">
        <f>(Ref_Tariff_Capacity!$G$40+Ref_Tariff_Capacity!$G$41*C91)/C91</f>
        <v>7.3375</v>
      </c>
      <c r="F91" s="31">
        <f>('Data Input'!$F$189+Ref_Tariff_Capacity!$G$36+Ref_Tariff_Capacity!$G$37*C91)/C91</f>
        <v>8.836875</v>
      </c>
      <c r="G91" s="12"/>
      <c r="H91" s="12"/>
      <c r="I91" s="12"/>
      <c r="J91" s="12"/>
      <c r="K91" s="12"/>
    </row>
    <row r="92" spans="3:11" ht="12.75">
      <c r="C92" s="136">
        <f t="shared" si="1"/>
        <v>850</v>
      </c>
      <c r="E92" s="31">
        <f>(Ref_Tariff_Capacity!$G$40+Ref_Tariff_Capacity!$G$41*C92)/C92</f>
        <v>7.317647058823529</v>
      </c>
      <c r="F92" s="31">
        <f>('Data Input'!$F$189+Ref_Tariff_Capacity!$G$36+Ref_Tariff_Capacity!$G$37*C92)/C92</f>
        <v>8.631176470588235</v>
      </c>
      <c r="G92" s="12"/>
      <c r="H92" s="12"/>
      <c r="I92" s="12"/>
      <c r="J92" s="12"/>
      <c r="K92" s="12"/>
    </row>
    <row r="93" spans="3:11" ht="12.75">
      <c r="C93" s="136">
        <f t="shared" si="1"/>
        <v>900</v>
      </c>
      <c r="E93" s="31">
        <f>(Ref_Tariff_Capacity!$G$40+Ref_Tariff_Capacity!$G$41*C93)/C93</f>
        <v>7.3</v>
      </c>
      <c r="F93" s="31">
        <f>('Data Input'!$F$189+Ref_Tariff_Capacity!$G$36+Ref_Tariff_Capacity!$G$37*C93)/C93</f>
        <v>8.448333333333334</v>
      </c>
      <c r="G93" s="12"/>
      <c r="H93" s="12"/>
      <c r="I93" s="12"/>
      <c r="J93" s="12"/>
      <c r="K93" s="12"/>
    </row>
    <row r="94" spans="3:11" ht="12.75">
      <c r="C94" s="136">
        <f t="shared" si="1"/>
        <v>950</v>
      </c>
      <c r="E94" s="31">
        <f>(Ref_Tariff_Capacity!$G$40+Ref_Tariff_Capacity!$G$41*C94)/C94</f>
        <v>7.28421052631579</v>
      </c>
      <c r="F94" s="31">
        <f>('Data Input'!$F$189+Ref_Tariff_Capacity!$G$36+Ref_Tariff_Capacity!$G$37*C94)/C94</f>
        <v>8.284736842105263</v>
      </c>
      <c r="G94" s="12"/>
      <c r="H94" s="12"/>
      <c r="I94" s="12"/>
      <c r="J94" s="12"/>
      <c r="K94" s="12"/>
    </row>
    <row r="95" spans="3:11" ht="12.75">
      <c r="C95" s="136">
        <f t="shared" si="1"/>
        <v>1000</v>
      </c>
      <c r="E95" s="31">
        <f>(Ref_Tariff_Capacity!$G$40+Ref_Tariff_Capacity!$G$41*C95)/C95</f>
        <v>7.27</v>
      </c>
      <c r="F95" s="31">
        <f>('Data Input'!$F$189+Ref_Tariff_Capacity!$G$36+Ref_Tariff_Capacity!$G$37*C95)/C95</f>
        <v>8.1375</v>
      </c>
      <c r="G95" s="12"/>
      <c r="H95" s="12"/>
      <c r="I95" s="12"/>
      <c r="J95" s="12"/>
      <c r="K95" s="12"/>
    </row>
    <row r="96" spans="3:11" ht="12.75">
      <c r="C96" s="136">
        <f t="shared" si="1"/>
        <v>1050</v>
      </c>
      <c r="E96" s="31">
        <f>(Ref_Tariff_Capacity!$G$40+Ref_Tariff_Capacity!$G$41*C96)/C96</f>
        <v>7.257142857142857</v>
      </c>
      <c r="F96" s="31">
        <f>('Data Input'!$F$189+Ref_Tariff_Capacity!$G$36+Ref_Tariff_Capacity!$G$37*C96)/C96</f>
        <v>8.004285714285714</v>
      </c>
      <c r="G96" s="12"/>
      <c r="H96" s="12"/>
      <c r="I96" s="12"/>
      <c r="J96" s="12"/>
      <c r="K96" s="12"/>
    </row>
    <row r="97" spans="3:11" ht="12.75">
      <c r="C97" s="136">
        <f t="shared" si="1"/>
        <v>1100</v>
      </c>
      <c r="E97" s="31">
        <f>(Ref_Tariff_Capacity!$G$40+Ref_Tariff_Capacity!$G$41*C97)/C97</f>
        <v>7.245454545454545</v>
      </c>
      <c r="F97" s="31">
        <f>('Data Input'!$F$189+Ref_Tariff_Capacity!$G$36+Ref_Tariff_Capacity!$G$37*C97)/C97</f>
        <v>7.883181818181818</v>
      </c>
      <c r="G97" s="12"/>
      <c r="H97" s="12"/>
      <c r="I97" s="12"/>
      <c r="J97" s="12"/>
      <c r="K97" s="12"/>
    </row>
    <row r="98" spans="3:11" ht="12.75">
      <c r="C98" s="136">
        <f t="shared" si="1"/>
        <v>1150</v>
      </c>
      <c r="E98" s="31">
        <f>(Ref_Tariff_Capacity!$G$40+Ref_Tariff_Capacity!$G$41*C98)/C98</f>
        <v>7.234782608695652</v>
      </c>
      <c r="F98" s="31">
        <f>('Data Input'!$F$189+Ref_Tariff_Capacity!$G$36+Ref_Tariff_Capacity!$G$37*C98)/C98</f>
        <v>7.772608695652174</v>
      </c>
      <c r="G98" s="12"/>
      <c r="H98" s="12"/>
      <c r="I98" s="12"/>
      <c r="J98" s="12"/>
      <c r="K98" s="12"/>
    </row>
    <row r="99" spans="3:11" ht="12.75">
      <c r="C99" s="136">
        <f t="shared" si="1"/>
        <v>1200</v>
      </c>
      <c r="E99" s="31">
        <f>(Ref_Tariff_Capacity!$G$40+Ref_Tariff_Capacity!$G$41*C99)/C99</f>
        <v>7.225</v>
      </c>
      <c r="F99" s="31">
        <f>('Data Input'!$F$189+Ref_Tariff_Capacity!$G$36+Ref_Tariff_Capacity!$G$37*C99)/C99</f>
        <v>7.67125</v>
      </c>
      <c r="G99" s="12"/>
      <c r="H99" s="12"/>
      <c r="I99" s="12"/>
      <c r="J99" s="12"/>
      <c r="K99" s="12"/>
    </row>
    <row r="100" spans="3:11" ht="12.75">
      <c r="C100" s="136">
        <f t="shared" si="1"/>
        <v>1250</v>
      </c>
      <c r="E100" s="31">
        <f>(Ref_Tariff_Capacity!$G$40+Ref_Tariff_Capacity!$G$41*C100)/C100</f>
        <v>7.216</v>
      </c>
      <c r="F100" s="31">
        <f>('Data Input'!$F$189+Ref_Tariff_Capacity!$G$36+Ref_Tariff_Capacity!$G$37*C100)/C100</f>
        <v>7.578</v>
      </c>
      <c r="G100" s="12"/>
      <c r="H100" s="12"/>
      <c r="I100" s="12"/>
      <c r="J100" s="12"/>
      <c r="K100" s="12"/>
    </row>
    <row r="101" spans="3:11" ht="12.75">
      <c r="C101" s="136"/>
      <c r="E101" s="12"/>
      <c r="F101" s="12"/>
      <c r="G101" s="12"/>
      <c r="H101" s="12"/>
      <c r="I101" s="12"/>
      <c r="J101" s="12"/>
      <c r="K101" s="12"/>
    </row>
    <row r="102" spans="3:11" ht="12.75">
      <c r="C102" s="136"/>
      <c r="D102" s="134"/>
      <c r="E102" s="12"/>
      <c r="F102" s="31"/>
      <c r="G102" s="31"/>
      <c r="H102" s="31"/>
      <c r="I102" s="12"/>
      <c r="J102" s="12"/>
      <c r="K102" s="12"/>
    </row>
    <row r="103" spans="2:11" ht="12.75">
      <c r="B103" s="2" t="s">
        <v>125</v>
      </c>
      <c r="C103" s="135" t="s">
        <v>114</v>
      </c>
      <c r="D103" s="126"/>
      <c r="E103" s="135" t="s">
        <v>118</v>
      </c>
      <c r="F103" s="135" t="s">
        <v>119</v>
      </c>
      <c r="G103" s="31"/>
      <c r="H103" s="31"/>
      <c r="I103" s="12"/>
      <c r="J103" s="12"/>
      <c r="K103" s="12"/>
    </row>
    <row r="104" spans="2:8" ht="12.75">
      <c r="B104" s="2" t="s">
        <v>123</v>
      </c>
      <c r="C104" s="134" t="s">
        <v>115</v>
      </c>
      <c r="D104" s="126"/>
      <c r="E104" s="134" t="s">
        <v>7</v>
      </c>
      <c r="F104" s="134" t="s">
        <v>7</v>
      </c>
      <c r="G104" s="31"/>
      <c r="H104" s="31"/>
    </row>
    <row r="105" spans="3:8" ht="12.75">
      <c r="C105" s="136"/>
      <c r="D105" s="134"/>
      <c r="G105" s="31"/>
      <c r="H105" s="31"/>
    </row>
    <row r="106" spans="3:11" ht="12.75">
      <c r="C106" s="136">
        <v>2000</v>
      </c>
      <c r="D106" s="134"/>
      <c r="E106" s="31">
        <f>('Data Input'!$F$189+Ref_Tariff_Capacity!$G$36+Ref_Tariff_Capacity!$G$37*C106)/C106</f>
        <v>6.73875</v>
      </c>
      <c r="F106" s="31">
        <f>('Data Input'!$F$188+Ref_Tariff_Capacity!$G$32+Ref_Tariff_Capacity!$G$33*C106)/C106</f>
        <v>20.854</v>
      </c>
      <c r="G106" s="31"/>
      <c r="H106" s="31"/>
      <c r="I106" s="12"/>
      <c r="J106" s="12"/>
      <c r="K106" s="12"/>
    </row>
    <row r="107" spans="3:11" ht="12.75">
      <c r="C107" s="136">
        <f aca="true" t="shared" si="2" ref="C107:C130">C106+500</f>
        <v>2500</v>
      </c>
      <c r="D107" s="134"/>
      <c r="E107" s="31">
        <f>('Data Input'!$F$189+Ref_Tariff_Capacity!$G$36+Ref_Tariff_Capacity!$G$37*C107)/C107</f>
        <v>6.459</v>
      </c>
      <c r="F107" s="31">
        <f>('Data Input'!$F$188+Ref_Tariff_Capacity!$G$32+Ref_Tariff_Capacity!$G$33*C107)/C107</f>
        <v>17.1232</v>
      </c>
      <c r="G107" s="31"/>
      <c r="H107" s="31"/>
      <c r="I107" s="12"/>
      <c r="J107" s="12"/>
      <c r="K107" s="12"/>
    </row>
    <row r="108" spans="3:11" ht="12.75">
      <c r="C108" s="136">
        <f t="shared" si="2"/>
        <v>3000</v>
      </c>
      <c r="D108" s="134"/>
      <c r="E108" s="31">
        <f>('Data Input'!$F$189+Ref_Tariff_Capacity!$G$36+Ref_Tariff_Capacity!$G$37*C108)/C108</f>
        <v>6.2725</v>
      </c>
      <c r="F108" s="31">
        <f>('Data Input'!$F$188+Ref_Tariff_Capacity!$G$32+Ref_Tariff_Capacity!$G$33*C108)/C108</f>
        <v>14.636</v>
      </c>
      <c r="G108" s="31"/>
      <c r="H108" s="31"/>
      <c r="I108" s="12"/>
      <c r="J108" s="12"/>
      <c r="K108" s="12"/>
    </row>
    <row r="109" spans="3:11" ht="12.75">
      <c r="C109" s="136">
        <f t="shared" si="2"/>
        <v>3500</v>
      </c>
      <c r="D109" s="134"/>
      <c r="E109" s="31">
        <f>('Data Input'!$F$189+Ref_Tariff_Capacity!$G$36+Ref_Tariff_Capacity!$G$37*C109)/C109</f>
        <v>6.139285714285714</v>
      </c>
      <c r="F109" s="31">
        <f>('Data Input'!$F$188+Ref_Tariff_Capacity!$G$32+Ref_Tariff_Capacity!$G$33*C109)/C109</f>
        <v>12.859428571428571</v>
      </c>
      <c r="G109" s="31"/>
      <c r="H109" s="31"/>
      <c r="I109" s="12"/>
      <c r="J109" s="12"/>
      <c r="K109" s="12"/>
    </row>
    <row r="110" spans="3:11" ht="12.75">
      <c r="C110" s="136">
        <f t="shared" si="2"/>
        <v>4000</v>
      </c>
      <c r="D110" s="134"/>
      <c r="E110" s="31">
        <f>('Data Input'!$F$189+Ref_Tariff_Capacity!$G$36+Ref_Tariff_Capacity!$G$37*C110)/C110</f>
        <v>6.039375</v>
      </c>
      <c r="F110" s="31">
        <f>('Data Input'!$F$188+Ref_Tariff_Capacity!$G$32+Ref_Tariff_Capacity!$G$33*C110)/C110</f>
        <v>11.527</v>
      </c>
      <c r="G110" s="31"/>
      <c r="H110" s="31"/>
      <c r="I110" s="12"/>
      <c r="J110" s="12"/>
      <c r="K110" s="12"/>
    </row>
    <row r="111" spans="3:11" ht="12.75">
      <c r="C111" s="136">
        <f t="shared" si="2"/>
        <v>4500</v>
      </c>
      <c r="E111" s="31">
        <f>('Data Input'!$F$189+Ref_Tariff_Capacity!$G$36+Ref_Tariff_Capacity!$G$37*C111)/C111</f>
        <v>5.961666666666667</v>
      </c>
      <c r="F111" s="31">
        <f>('Data Input'!$F$188+Ref_Tariff_Capacity!$G$32+Ref_Tariff_Capacity!$G$33*C111)/C111</f>
        <v>10.490666666666666</v>
      </c>
      <c r="G111" s="12"/>
      <c r="H111" s="12"/>
      <c r="I111" s="12"/>
      <c r="J111" s="12"/>
      <c r="K111" s="12"/>
    </row>
    <row r="112" spans="3:11" ht="12.75">
      <c r="C112" s="136">
        <f t="shared" si="2"/>
        <v>5000</v>
      </c>
      <c r="E112" s="31">
        <f>('Data Input'!$F$189+Ref_Tariff_Capacity!$G$36+Ref_Tariff_Capacity!$G$37*C112)/C112</f>
        <v>5.8995</v>
      </c>
      <c r="F112" s="31">
        <f>('Data Input'!$F$188+Ref_Tariff_Capacity!$G$32+Ref_Tariff_Capacity!$G$33*C112)/C112</f>
        <v>9.6616</v>
      </c>
      <c r="G112" s="12"/>
      <c r="H112" s="12"/>
      <c r="I112" s="12"/>
      <c r="J112" s="12"/>
      <c r="K112" s="12"/>
    </row>
    <row r="113" spans="3:11" ht="12.75">
      <c r="C113" s="136">
        <f t="shared" si="2"/>
        <v>5500</v>
      </c>
      <c r="E113" s="31">
        <f>('Data Input'!$F$189+Ref_Tariff_Capacity!$G$36+Ref_Tariff_Capacity!$G$37*C113)/C113</f>
        <v>5.848636363636364</v>
      </c>
      <c r="F113" s="31">
        <f>('Data Input'!$F$188+Ref_Tariff_Capacity!$G$32+Ref_Tariff_Capacity!$G$33*C113)/C113</f>
        <v>8.983272727272727</v>
      </c>
      <c r="G113" s="12"/>
      <c r="H113" s="12"/>
      <c r="I113" s="12"/>
      <c r="J113" s="12"/>
      <c r="K113" s="12"/>
    </row>
    <row r="114" spans="3:11" ht="12.75">
      <c r="C114" s="136">
        <f t="shared" si="2"/>
        <v>6000</v>
      </c>
      <c r="E114" s="31">
        <f>('Data Input'!$F$189+Ref_Tariff_Capacity!$G$36+Ref_Tariff_Capacity!$G$37*C114)/C114</f>
        <v>5.80625</v>
      </c>
      <c r="F114" s="31">
        <f>('Data Input'!$F$188+Ref_Tariff_Capacity!$G$32+Ref_Tariff_Capacity!$G$33*C114)/C114</f>
        <v>8.418</v>
      </c>
      <c r="G114" s="12"/>
      <c r="H114" s="12"/>
      <c r="I114" s="12"/>
      <c r="J114" s="12"/>
      <c r="K114" s="12"/>
    </row>
    <row r="115" spans="3:11" ht="12.75">
      <c r="C115" s="136">
        <f t="shared" si="2"/>
        <v>6500</v>
      </c>
      <c r="E115" s="31">
        <f>('Data Input'!$F$189+Ref_Tariff_Capacity!$G$36+Ref_Tariff_Capacity!$G$37*C115)/C115</f>
        <v>5.770384615384615</v>
      </c>
      <c r="F115" s="31">
        <f>('Data Input'!$F$188+Ref_Tariff_Capacity!$G$32+Ref_Tariff_Capacity!$G$33*C115)/C115</f>
        <v>7.939692307692308</v>
      </c>
      <c r="G115" s="12"/>
      <c r="H115" s="12"/>
      <c r="I115" s="12"/>
      <c r="J115" s="12"/>
      <c r="K115" s="12"/>
    </row>
    <row r="116" spans="3:11" ht="12.75">
      <c r="C116" s="136">
        <f t="shared" si="2"/>
        <v>7000</v>
      </c>
      <c r="E116" s="31">
        <f>('Data Input'!$F$189+Ref_Tariff_Capacity!$G$36+Ref_Tariff_Capacity!$G$37*C116)/C116</f>
        <v>5.739642857142857</v>
      </c>
      <c r="F116" s="31">
        <f>('Data Input'!$F$188+Ref_Tariff_Capacity!$G$32+Ref_Tariff_Capacity!$G$33*C116)/C116</f>
        <v>7.529714285714285</v>
      </c>
      <c r="G116" s="12"/>
      <c r="H116" s="12"/>
      <c r="I116" s="12"/>
      <c r="J116" s="12"/>
      <c r="K116" s="12"/>
    </row>
    <row r="117" spans="3:11" ht="12.75">
      <c r="C117" s="136">
        <f t="shared" si="2"/>
        <v>7500</v>
      </c>
      <c r="E117" s="31">
        <f>('Data Input'!$F$189+Ref_Tariff_Capacity!$G$36+Ref_Tariff_Capacity!$G$37*C117)/C117</f>
        <v>5.713</v>
      </c>
      <c r="F117" s="31">
        <f>('Data Input'!$F$188+Ref_Tariff_Capacity!$G$32+Ref_Tariff_Capacity!$G$33*C117)/C117</f>
        <v>7.1744</v>
      </c>
      <c r="G117" s="12"/>
      <c r="H117" s="12"/>
      <c r="I117" s="12"/>
      <c r="J117" s="12"/>
      <c r="K117" s="12"/>
    </row>
    <row r="118" spans="3:11" ht="12.75">
      <c r="C118" s="136">
        <f t="shared" si="2"/>
        <v>8000</v>
      </c>
      <c r="E118" s="31">
        <f>('Data Input'!$F$189+Ref_Tariff_Capacity!$G$36+Ref_Tariff_Capacity!$G$37*C118)/C118</f>
        <v>5.6896875</v>
      </c>
      <c r="F118" s="31">
        <f>('Data Input'!$F$188+Ref_Tariff_Capacity!$G$32+Ref_Tariff_Capacity!$G$33*C118)/C118</f>
        <v>6.8635</v>
      </c>
      <c r="G118" s="12"/>
      <c r="H118" s="12"/>
      <c r="I118" s="12"/>
      <c r="J118" s="12"/>
      <c r="K118" s="12"/>
    </row>
    <row r="119" spans="3:11" ht="12.75">
      <c r="C119" s="136">
        <f t="shared" si="2"/>
        <v>8500</v>
      </c>
      <c r="E119" s="31">
        <f>('Data Input'!$F$189+Ref_Tariff_Capacity!$G$36+Ref_Tariff_Capacity!$G$37*C119)/C119</f>
        <v>5.669117647058823</v>
      </c>
      <c r="F119" s="31">
        <f>('Data Input'!$F$188+Ref_Tariff_Capacity!$G$32+Ref_Tariff_Capacity!$G$33*C119)/C119</f>
        <v>6.589176470588235</v>
      </c>
      <c r="G119" s="12"/>
      <c r="H119" s="12"/>
      <c r="I119" s="12"/>
      <c r="J119" s="12"/>
      <c r="K119" s="12"/>
    </row>
    <row r="120" spans="3:11" ht="12.75">
      <c r="C120" s="136">
        <f t="shared" si="2"/>
        <v>9000</v>
      </c>
      <c r="E120" s="31">
        <f>('Data Input'!$F$189+Ref_Tariff_Capacity!$G$36+Ref_Tariff_Capacity!$G$37*C120)/C120</f>
        <v>5.650833333333333</v>
      </c>
      <c r="F120" s="31">
        <f>('Data Input'!$F$188+Ref_Tariff_Capacity!$G$32+Ref_Tariff_Capacity!$G$33*C120)/C120</f>
        <v>6.3453333333333335</v>
      </c>
      <c r="G120" s="12"/>
      <c r="H120" s="12"/>
      <c r="I120" s="12"/>
      <c r="J120" s="12"/>
      <c r="K120" s="12"/>
    </row>
    <row r="121" spans="3:11" ht="12.75">
      <c r="C121" s="136">
        <f t="shared" si="2"/>
        <v>9500</v>
      </c>
      <c r="E121" s="31">
        <f>('Data Input'!$F$189+Ref_Tariff_Capacity!$G$36+Ref_Tariff_Capacity!$G$37*C121)/C121</f>
        <v>5.634473684210526</v>
      </c>
      <c r="F121" s="31">
        <f>('Data Input'!$F$188+Ref_Tariff_Capacity!$G$32+Ref_Tariff_Capacity!$G$33*C121)/C121</f>
        <v>6.127157894736842</v>
      </c>
      <c r="G121" s="12"/>
      <c r="H121" s="12"/>
      <c r="I121" s="12"/>
      <c r="J121" s="12"/>
      <c r="K121" s="12"/>
    </row>
    <row r="122" spans="3:11" ht="12.75">
      <c r="C122" s="136">
        <f t="shared" si="2"/>
        <v>10000</v>
      </c>
      <c r="E122" s="31">
        <f>('Data Input'!$F$189+Ref_Tariff_Capacity!$G$36+Ref_Tariff_Capacity!$G$37*C122)/C122</f>
        <v>5.61975</v>
      </c>
      <c r="F122" s="31">
        <f>('Data Input'!$F$188+Ref_Tariff_Capacity!$G$32+Ref_Tariff_Capacity!$G$33*C122)/C122</f>
        <v>5.9308</v>
      </c>
      <c r="G122" s="12"/>
      <c r="H122" s="12"/>
      <c r="I122" s="12"/>
      <c r="J122" s="12"/>
      <c r="K122" s="12"/>
    </row>
    <row r="123" spans="3:11" ht="12.75">
      <c r="C123" s="136">
        <f t="shared" si="2"/>
        <v>10500</v>
      </c>
      <c r="E123" s="31">
        <f>('Data Input'!$F$189+Ref_Tariff_Capacity!$G$36+Ref_Tariff_Capacity!$G$37*C123)/C123</f>
        <v>5.606428571428571</v>
      </c>
      <c r="F123" s="31">
        <f>('Data Input'!$F$188+Ref_Tariff_Capacity!$G$32+Ref_Tariff_Capacity!$G$33*C123)/C123</f>
        <v>5.753142857142858</v>
      </c>
      <c r="G123" s="12"/>
      <c r="H123" s="12"/>
      <c r="I123" s="12"/>
      <c r="J123" s="12"/>
      <c r="K123" s="12"/>
    </row>
    <row r="124" spans="3:11" ht="12.75">
      <c r="C124" s="136">
        <f t="shared" si="2"/>
        <v>11000</v>
      </c>
      <c r="E124" s="31">
        <f>('Data Input'!$F$189+Ref_Tariff_Capacity!$G$36+Ref_Tariff_Capacity!$G$37*C124)/C124</f>
        <v>5.594318181818182</v>
      </c>
      <c r="F124" s="31">
        <f>('Data Input'!$F$188+Ref_Tariff_Capacity!$G$32+Ref_Tariff_Capacity!$G$33*C124)/C124</f>
        <v>5.591636363636364</v>
      </c>
      <c r="G124" s="12"/>
      <c r="H124" s="12"/>
      <c r="I124" s="12"/>
      <c r="J124" s="12"/>
      <c r="K124" s="12"/>
    </row>
    <row r="125" spans="3:11" ht="12.75">
      <c r="C125" s="136">
        <f t="shared" si="2"/>
        <v>11500</v>
      </c>
      <c r="E125" s="31">
        <f>('Data Input'!$F$189+Ref_Tariff_Capacity!$G$36+Ref_Tariff_Capacity!$G$37*C125)/C125</f>
        <v>5.583260869565217</v>
      </c>
      <c r="F125" s="31">
        <f>('Data Input'!$F$188+Ref_Tariff_Capacity!$G$32+Ref_Tariff_Capacity!$G$33*C125)/C125</f>
        <v>5.444173913043478</v>
      </c>
      <c r="G125" s="12"/>
      <c r="H125" s="12"/>
      <c r="I125" s="12"/>
      <c r="J125" s="12"/>
      <c r="K125" s="12"/>
    </row>
    <row r="126" spans="3:11" ht="12.75">
      <c r="C126" s="136">
        <f t="shared" si="2"/>
        <v>12000</v>
      </c>
      <c r="E126" s="31">
        <f>('Data Input'!$F$189+Ref_Tariff_Capacity!$G$36+Ref_Tariff_Capacity!$G$37*C126)/C126</f>
        <v>5.573125</v>
      </c>
      <c r="F126" s="31">
        <f>('Data Input'!$F$188+Ref_Tariff_Capacity!$G$32+Ref_Tariff_Capacity!$G$33*C126)/C126</f>
        <v>5.309</v>
      </c>
      <c r="G126" s="12"/>
      <c r="H126" s="12"/>
      <c r="I126" s="12"/>
      <c r="J126" s="12"/>
      <c r="K126" s="12"/>
    </row>
    <row r="127" spans="3:11" ht="12.75">
      <c r="C127" s="136">
        <f t="shared" si="2"/>
        <v>12500</v>
      </c>
      <c r="E127" s="31">
        <f>('Data Input'!$F$189+Ref_Tariff_Capacity!$G$36+Ref_Tariff_Capacity!$G$37*C127)/C127</f>
        <v>5.5638</v>
      </c>
      <c r="F127" s="31">
        <f>('Data Input'!$F$188+Ref_Tariff_Capacity!$G$32+Ref_Tariff_Capacity!$G$33*C127)/C127</f>
        <v>5.18464</v>
      </c>
      <c r="G127" s="12"/>
      <c r="H127" s="12"/>
      <c r="I127" s="12"/>
      <c r="J127" s="12"/>
      <c r="K127" s="12"/>
    </row>
    <row r="128" spans="3:11" ht="12.75">
      <c r="C128" s="136">
        <f t="shared" si="2"/>
        <v>13000</v>
      </c>
      <c r="E128" s="31">
        <f>('Data Input'!$F$189+Ref_Tariff_Capacity!$G$36+Ref_Tariff_Capacity!$G$37*C128)/C128</f>
        <v>5.555192307692308</v>
      </c>
      <c r="F128" s="31">
        <f>('Data Input'!$F$188+Ref_Tariff_Capacity!$G$32+Ref_Tariff_Capacity!$G$33*C128)/C128</f>
        <v>5.069846153846154</v>
      </c>
      <c r="G128" s="12"/>
      <c r="H128" s="12"/>
      <c r="I128" s="12"/>
      <c r="J128" s="12"/>
      <c r="K128" s="12"/>
    </row>
    <row r="129" spans="3:11" ht="12.75">
      <c r="C129" s="136">
        <f t="shared" si="2"/>
        <v>13500</v>
      </c>
      <c r="E129" s="31">
        <f>('Data Input'!$F$189+Ref_Tariff_Capacity!$G$36+Ref_Tariff_Capacity!$G$37*C129)/C129</f>
        <v>5.5472222222222225</v>
      </c>
      <c r="F129" s="31">
        <f>('Data Input'!$F$188+Ref_Tariff_Capacity!$G$32+Ref_Tariff_Capacity!$G$33*C129)/C129</f>
        <v>4.963555555555556</v>
      </c>
      <c r="G129" s="12"/>
      <c r="H129" s="12"/>
      <c r="I129" s="12"/>
      <c r="J129" s="12"/>
      <c r="K129" s="12"/>
    </row>
    <row r="130" spans="3:11" ht="12.75">
      <c r="C130" s="136">
        <f t="shared" si="2"/>
        <v>14000</v>
      </c>
      <c r="E130" s="31">
        <f>('Data Input'!$F$189+Ref_Tariff_Capacity!$G$36+Ref_Tariff_Capacity!$G$37*C130)/C130</f>
        <v>5.539821428571429</v>
      </c>
      <c r="F130" s="31">
        <f>('Data Input'!$F$188+Ref_Tariff_Capacity!$G$32+Ref_Tariff_Capacity!$G$33*C130)/C130</f>
        <v>4.864857142857143</v>
      </c>
      <c r="G130" s="12"/>
      <c r="H130" s="12"/>
      <c r="I130" s="12"/>
      <c r="J130" s="12"/>
      <c r="K130" s="12"/>
    </row>
    <row r="131" spans="3:11" ht="12.75">
      <c r="C131" s="136"/>
      <c r="E131" s="12"/>
      <c r="F131" s="12"/>
      <c r="G131" s="12"/>
      <c r="H131" s="12"/>
      <c r="I131" s="12"/>
      <c r="J131" s="12"/>
      <c r="K131" s="12"/>
    </row>
    <row r="132" spans="3:11" ht="12.75">
      <c r="C132" s="136"/>
      <c r="E132" s="12"/>
      <c r="F132" s="12"/>
      <c r="G132" s="12"/>
      <c r="H132" s="12"/>
      <c r="I132" s="12"/>
      <c r="J132" s="12"/>
      <c r="K132" s="12"/>
    </row>
    <row r="133" spans="2:11" ht="12.75">
      <c r="B133" s="2" t="s">
        <v>125</v>
      </c>
      <c r="C133" s="135" t="s">
        <v>114</v>
      </c>
      <c r="D133" s="126"/>
      <c r="E133" s="135" t="s">
        <v>119</v>
      </c>
      <c r="F133" s="135" t="s">
        <v>120</v>
      </c>
      <c r="G133" s="12"/>
      <c r="H133" s="12"/>
      <c r="I133" s="12"/>
      <c r="J133" s="12"/>
      <c r="K133" s="12"/>
    </row>
    <row r="134" spans="2:11" ht="12.75">
      <c r="B134" s="2" t="s">
        <v>124</v>
      </c>
      <c r="C134" s="134" t="s">
        <v>115</v>
      </c>
      <c r="D134" s="126"/>
      <c r="E134" s="134" t="s">
        <v>7</v>
      </c>
      <c r="F134" s="134" t="s">
        <v>7</v>
      </c>
      <c r="G134" s="12"/>
      <c r="H134" s="12"/>
      <c r="I134" s="12"/>
      <c r="J134" s="12"/>
      <c r="K134" s="12"/>
    </row>
    <row r="135" spans="5:11" ht="12.75">
      <c r="E135" s="12"/>
      <c r="F135" s="12"/>
      <c r="G135" s="12"/>
      <c r="H135" s="12"/>
      <c r="I135" s="12"/>
      <c r="J135" s="12"/>
      <c r="K135" s="12"/>
    </row>
    <row r="136" spans="3:11" ht="12.75">
      <c r="C136" s="136">
        <v>10000</v>
      </c>
      <c r="D136" s="136"/>
      <c r="E136" s="31">
        <v>5.9308</v>
      </c>
      <c r="F136" s="31">
        <v>10.721789152400001</v>
      </c>
      <c r="G136" s="12"/>
      <c r="H136" s="12"/>
      <c r="I136" s="12"/>
      <c r="J136" s="12"/>
      <c r="K136" s="12"/>
    </row>
    <row r="137" spans="3:11" ht="12.75">
      <c r="C137" s="136">
        <f aca="true" t="shared" si="3" ref="C137:C160">C136+2000</f>
        <v>12000</v>
      </c>
      <c r="D137" s="136"/>
      <c r="E137" s="31">
        <v>5.309</v>
      </c>
      <c r="F137" s="31">
        <v>8.973328960333333</v>
      </c>
      <c r="G137" s="12"/>
      <c r="H137" s="12"/>
      <c r="I137" s="12"/>
      <c r="J137" s="12"/>
      <c r="K137" s="12"/>
    </row>
    <row r="138" spans="3:11" ht="12.75">
      <c r="C138" s="136">
        <f t="shared" si="3"/>
        <v>14000</v>
      </c>
      <c r="E138" s="31">
        <v>4.864857142857143</v>
      </c>
      <c r="F138" s="31">
        <v>7.7244288231428575</v>
      </c>
      <c r="G138" s="12"/>
      <c r="H138" s="12"/>
      <c r="I138" s="12"/>
      <c r="J138" s="12"/>
      <c r="K138" s="12"/>
    </row>
    <row r="139" spans="3:11" ht="12.75">
      <c r="C139" s="136">
        <f t="shared" si="3"/>
        <v>16000</v>
      </c>
      <c r="E139" s="31">
        <v>4.53175</v>
      </c>
      <c r="F139" s="31">
        <v>6.7877537202500005</v>
      </c>
      <c r="G139" s="12"/>
      <c r="H139" s="12"/>
      <c r="I139" s="12"/>
      <c r="J139" s="12"/>
      <c r="K139" s="12"/>
    </row>
    <row r="140" spans="3:11" ht="12.75">
      <c r="C140" s="136">
        <f t="shared" si="3"/>
        <v>18000</v>
      </c>
      <c r="E140" s="31">
        <v>4.272666666666667</v>
      </c>
      <c r="F140" s="31">
        <v>6.059228640222223</v>
      </c>
      <c r="G140" s="12"/>
      <c r="H140" s="12"/>
      <c r="I140" s="12"/>
      <c r="J140" s="12"/>
      <c r="K140" s="12"/>
    </row>
    <row r="141" spans="3:11" ht="12.75">
      <c r="C141" s="136">
        <f t="shared" si="3"/>
        <v>20000</v>
      </c>
      <c r="E141" s="31">
        <v>4.0654</v>
      </c>
      <c r="F141" s="31">
        <v>5.4764085762</v>
      </c>
      <c r="G141" s="12"/>
      <c r="H141" s="12"/>
      <c r="I141" s="12"/>
      <c r="J141" s="12"/>
      <c r="K141" s="12"/>
    </row>
    <row r="142" spans="3:11" ht="12.75">
      <c r="C142" s="136">
        <f t="shared" si="3"/>
        <v>22000</v>
      </c>
      <c r="E142" s="31">
        <v>3.8958181818181816</v>
      </c>
      <c r="F142" s="31">
        <v>4.9995557965454545</v>
      </c>
      <c r="G142" s="12"/>
      <c r="H142" s="12"/>
      <c r="I142" s="12"/>
      <c r="J142" s="12"/>
      <c r="K142" s="12"/>
    </row>
    <row r="143" spans="3:11" ht="12.75">
      <c r="C143" s="136">
        <f t="shared" si="3"/>
        <v>24000</v>
      </c>
      <c r="E143" s="31">
        <v>3.7545</v>
      </c>
      <c r="F143" s="31">
        <v>4.602178480166668</v>
      </c>
      <c r="G143" s="12"/>
      <c r="H143" s="12"/>
      <c r="I143" s="12"/>
      <c r="J143" s="12"/>
      <c r="K143" s="12"/>
    </row>
    <row r="144" spans="3:11" ht="12.75">
      <c r="C144" s="136">
        <f t="shared" si="3"/>
        <v>26000</v>
      </c>
      <c r="E144" s="31">
        <v>3.634923076923077</v>
      </c>
      <c r="F144" s="31">
        <v>4.265936135538462</v>
      </c>
      <c r="G144" s="12"/>
      <c r="H144" s="12"/>
      <c r="I144" s="12"/>
      <c r="J144" s="12"/>
      <c r="K144" s="12"/>
    </row>
    <row r="145" spans="3:11" ht="12.75">
      <c r="C145" s="136">
        <f t="shared" si="3"/>
        <v>28000</v>
      </c>
      <c r="E145" s="31">
        <v>3.5324285714285715</v>
      </c>
      <c r="F145" s="31">
        <v>3.977728411571429</v>
      </c>
      <c r="G145" s="12"/>
      <c r="H145" s="12"/>
      <c r="I145" s="12"/>
      <c r="J145" s="12"/>
      <c r="K145" s="12"/>
    </row>
    <row r="146" spans="3:11" ht="12.75">
      <c r="C146" s="136">
        <f t="shared" si="3"/>
        <v>30000</v>
      </c>
      <c r="E146" s="31">
        <v>3.4436</v>
      </c>
      <c r="F146" s="31">
        <v>3.7279483841333336</v>
      </c>
      <c r="G146" s="12"/>
      <c r="H146" s="12"/>
      <c r="I146" s="12"/>
      <c r="J146" s="12"/>
      <c r="K146" s="12"/>
    </row>
    <row r="147" spans="3:11" ht="12.75">
      <c r="C147" s="136">
        <f t="shared" si="3"/>
        <v>32000</v>
      </c>
      <c r="E147" s="31">
        <v>3.365875</v>
      </c>
      <c r="F147" s="31">
        <v>3.509390860125</v>
      </c>
      <c r="G147" s="12"/>
      <c r="H147" s="12"/>
      <c r="I147" s="12"/>
      <c r="J147" s="12"/>
      <c r="K147" s="12"/>
    </row>
    <row r="148" spans="3:11" ht="12.75">
      <c r="C148" s="136">
        <f t="shared" si="3"/>
        <v>34000</v>
      </c>
      <c r="E148" s="31">
        <v>3.2972941176470587</v>
      </c>
      <c r="F148" s="31">
        <v>3.3165459860000004</v>
      </c>
      <c r="G148" s="12"/>
      <c r="H148" s="12"/>
      <c r="I148" s="12"/>
      <c r="J148" s="12"/>
      <c r="K148" s="12"/>
    </row>
    <row r="149" spans="3:11" ht="12.75">
      <c r="C149" s="136">
        <f t="shared" si="3"/>
        <v>36000</v>
      </c>
      <c r="E149" s="31">
        <v>3.2363333333333335</v>
      </c>
      <c r="F149" s="31">
        <v>3.1451283201111115</v>
      </c>
      <c r="G149" s="12"/>
      <c r="H149" s="12"/>
      <c r="I149" s="12"/>
      <c r="J149" s="12"/>
      <c r="K149" s="12"/>
    </row>
    <row r="150" spans="3:11" ht="12.75">
      <c r="C150" s="136">
        <f t="shared" si="3"/>
        <v>38000</v>
      </c>
      <c r="E150" s="31">
        <v>3.1817894736842107</v>
      </c>
      <c r="F150" s="31">
        <v>2.9917546190526316</v>
      </c>
      <c r="G150" s="12"/>
      <c r="H150" s="12"/>
      <c r="I150" s="12"/>
      <c r="J150" s="12"/>
      <c r="K150" s="12"/>
    </row>
    <row r="151" spans="3:11" ht="12.75">
      <c r="C151" s="136">
        <f t="shared" si="3"/>
        <v>40000</v>
      </c>
      <c r="E151" s="31">
        <v>3.1327</v>
      </c>
      <c r="F151" s="31">
        <v>2.8537182881</v>
      </c>
      <c r="G151" s="12"/>
      <c r="H151" s="12"/>
      <c r="I151" s="12"/>
      <c r="J151" s="12"/>
      <c r="K151" s="12"/>
    </row>
    <row r="152" spans="3:11" ht="12.75">
      <c r="C152" s="136">
        <f t="shared" si="3"/>
        <v>42000</v>
      </c>
      <c r="E152" s="31">
        <v>3.0882857142857145</v>
      </c>
      <c r="F152" s="31">
        <v>2.7288282743809527</v>
      </c>
      <c r="G152" s="12"/>
      <c r="H152" s="12"/>
      <c r="I152" s="12"/>
      <c r="J152" s="12"/>
      <c r="K152" s="12"/>
    </row>
    <row r="153" spans="3:11" ht="12.75">
      <c r="C153" s="136">
        <f t="shared" si="3"/>
        <v>44000</v>
      </c>
      <c r="E153" s="31">
        <v>3.047909090909091</v>
      </c>
      <c r="F153" s="31">
        <v>2.6152918982727273</v>
      </c>
      <c r="G153" s="12"/>
      <c r="H153" s="12"/>
      <c r="I153" s="12"/>
      <c r="J153" s="12"/>
      <c r="K153" s="12"/>
    </row>
    <row r="154" spans="3:11" ht="12.75">
      <c r="C154" s="136">
        <f t="shared" si="3"/>
        <v>46000</v>
      </c>
      <c r="E154" s="31">
        <v>3.0110434782608695</v>
      </c>
      <c r="F154" s="31">
        <v>2.5116282505217393</v>
      </c>
      <c r="G154" s="12"/>
      <c r="H154" s="12"/>
      <c r="I154" s="12"/>
      <c r="J154" s="12"/>
      <c r="K154" s="12"/>
    </row>
    <row r="155" spans="3:11" ht="12.75">
      <c r="C155" s="136">
        <f t="shared" si="3"/>
        <v>48000</v>
      </c>
      <c r="E155" s="31">
        <v>2.97725</v>
      </c>
      <c r="F155" s="31">
        <v>2.4166032400833335</v>
      </c>
      <c r="G155" s="12"/>
      <c r="H155" s="12"/>
      <c r="I155" s="12"/>
      <c r="J155" s="12"/>
      <c r="K155" s="12"/>
    </row>
    <row r="156" spans="3:11" ht="12.75">
      <c r="C156" s="136">
        <f t="shared" si="3"/>
        <v>50000</v>
      </c>
      <c r="E156" s="31">
        <v>2.94616</v>
      </c>
      <c r="F156" s="31">
        <v>2.32918023048</v>
      </c>
      <c r="G156" s="12"/>
      <c r="H156" s="12"/>
      <c r="I156" s="12"/>
      <c r="J156" s="12"/>
      <c r="K156" s="12"/>
    </row>
    <row r="157" spans="3:11" ht="12.75">
      <c r="C157" s="136">
        <f t="shared" si="3"/>
        <v>52000</v>
      </c>
      <c r="E157" s="31">
        <v>2.9174615384615383</v>
      </c>
      <c r="F157" s="31">
        <v>2.248482067769231</v>
      </c>
      <c r="G157" s="12"/>
      <c r="H157" s="12"/>
      <c r="I157" s="12"/>
      <c r="J157" s="12"/>
      <c r="K157" s="12"/>
    </row>
    <row r="158" spans="3:11" ht="12.75">
      <c r="C158" s="136">
        <f t="shared" si="3"/>
        <v>54000</v>
      </c>
      <c r="E158" s="31">
        <v>2.890888888888889</v>
      </c>
      <c r="F158" s="31">
        <v>2.173761546740741</v>
      </c>
      <c r="G158" s="12"/>
      <c r="H158" s="12"/>
      <c r="I158" s="12"/>
      <c r="J158" s="12"/>
      <c r="K158" s="12"/>
    </row>
    <row r="159" spans="3:11" ht="12.75">
      <c r="C159" s="136">
        <f t="shared" si="3"/>
        <v>56000</v>
      </c>
      <c r="E159" s="31">
        <v>2.866214285714286</v>
      </c>
      <c r="F159" s="31">
        <v>2.1043782057857143</v>
      </c>
      <c r="G159" s="12"/>
      <c r="H159" s="12"/>
      <c r="I159" s="12"/>
      <c r="J159" s="12"/>
      <c r="K159" s="12"/>
    </row>
    <row r="160" spans="3:11" ht="12.75">
      <c r="C160" s="136">
        <f t="shared" si="3"/>
        <v>58000</v>
      </c>
      <c r="E160" s="31">
        <v>2.843241379310345</v>
      </c>
      <c r="F160" s="31">
        <v>2.039779922827586</v>
      </c>
      <c r="G160" s="12"/>
      <c r="H160" s="12"/>
      <c r="I160" s="12"/>
      <c r="J160" s="12"/>
      <c r="K160" s="12"/>
    </row>
    <row r="161" spans="3:11" ht="12.75">
      <c r="C161" s="136"/>
      <c r="E161" s="12"/>
      <c r="F161" s="12"/>
      <c r="G161" s="12"/>
      <c r="H161" s="12"/>
      <c r="I161" s="12"/>
      <c r="J161" s="12"/>
      <c r="K161" s="12"/>
    </row>
    <row r="162" spans="1:11" s="138" customFormat="1" ht="12.75">
      <c r="A162" s="1"/>
      <c r="C162" s="137"/>
      <c r="E162" s="30"/>
      <c r="F162" s="30"/>
      <c r="G162" s="30"/>
      <c r="H162" s="30"/>
      <c r="I162" s="30"/>
      <c r="J162" s="30"/>
      <c r="K162" s="30"/>
    </row>
    <row r="163" spans="3:11" ht="12.75">
      <c r="C163" s="136"/>
      <c r="E163" s="12"/>
      <c r="F163" s="12"/>
      <c r="G163" s="12"/>
      <c r="H163" s="12"/>
      <c r="I163" s="12"/>
      <c r="J163" s="12"/>
      <c r="K163" s="12"/>
    </row>
    <row r="164" spans="3:11" ht="12.75">
      <c r="C164" s="136"/>
      <c r="E164" s="12"/>
      <c r="F164" s="12"/>
      <c r="G164" s="12"/>
      <c r="H164" s="12"/>
      <c r="I164" s="12"/>
      <c r="J164" s="12"/>
      <c r="K164" s="12"/>
    </row>
    <row r="165" spans="5:11" ht="12.75">
      <c r="E165" s="12"/>
      <c r="F165" s="12"/>
      <c r="G165" s="12"/>
      <c r="H165" s="12"/>
      <c r="I165" s="12"/>
      <c r="J165" s="12"/>
      <c r="K165" s="12"/>
    </row>
    <row r="166" spans="5:11" ht="12.75">
      <c r="E166" s="12"/>
      <c r="F166" s="12"/>
      <c r="G166" s="12"/>
      <c r="H166" s="12"/>
      <c r="I166" s="12"/>
      <c r="J166" s="12"/>
      <c r="K166" s="12"/>
    </row>
    <row r="167" spans="5:11" ht="12.75">
      <c r="E167" s="12"/>
      <c r="F167" s="12"/>
      <c r="G167" s="12"/>
      <c r="H167" s="12"/>
      <c r="I167" s="12"/>
      <c r="J167" s="12"/>
      <c r="K167" s="12"/>
    </row>
    <row r="168" spans="5:11" ht="12.75">
      <c r="E168" s="12"/>
      <c r="F168" s="12"/>
      <c r="G168" s="12"/>
      <c r="H168" s="12"/>
      <c r="I168" s="12"/>
      <c r="J168" s="12"/>
      <c r="K168" s="12"/>
    </row>
    <row r="169" spans="5:11" ht="12.75">
      <c r="E169" s="12"/>
      <c r="F169" s="12"/>
      <c r="G169" s="12"/>
      <c r="H169" s="12"/>
      <c r="I169" s="12"/>
      <c r="J169" s="12"/>
      <c r="K169" s="12"/>
    </row>
    <row r="170" spans="5:11" ht="12.75">
      <c r="E170" s="12"/>
      <c r="F170" s="12"/>
      <c r="G170" s="12"/>
      <c r="H170" s="12"/>
      <c r="I170" s="12"/>
      <c r="J170" s="12"/>
      <c r="K170" s="12"/>
    </row>
    <row r="171" spans="5:11" ht="12.75">
      <c r="E171" s="12"/>
      <c r="F171" s="12"/>
      <c r="G171" s="12"/>
      <c r="H171" s="12"/>
      <c r="I171" s="12"/>
      <c r="J171" s="12"/>
      <c r="K171" s="12"/>
    </row>
    <row r="172" spans="5:11" ht="12.75">
      <c r="E172" s="12"/>
      <c r="F172" s="12"/>
      <c r="G172" s="12"/>
      <c r="H172" s="12"/>
      <c r="I172" s="12"/>
      <c r="J172" s="12"/>
      <c r="K172" s="12"/>
    </row>
    <row r="173" spans="5:11" ht="12.75">
      <c r="E173" s="12"/>
      <c r="F173" s="12"/>
      <c r="G173" s="12"/>
      <c r="H173" s="12"/>
      <c r="I173" s="12"/>
      <c r="J173" s="12"/>
      <c r="K173" s="12"/>
    </row>
    <row r="174" spans="5:11" ht="12.75">
      <c r="E174" s="12"/>
      <c r="F174" s="12"/>
      <c r="G174" s="12"/>
      <c r="H174" s="12"/>
      <c r="I174" s="12"/>
      <c r="J174" s="12"/>
      <c r="K174" s="12"/>
    </row>
    <row r="175" spans="5:11" ht="12.75">
      <c r="E175" s="12"/>
      <c r="F175" s="12"/>
      <c r="G175" s="12"/>
      <c r="H175" s="12"/>
      <c r="I175" s="12"/>
      <c r="J175" s="12"/>
      <c r="K175" s="12"/>
    </row>
    <row r="176" spans="5:11" ht="12.75">
      <c r="E176" s="12"/>
      <c r="F176" s="12"/>
      <c r="G176" s="12"/>
      <c r="H176" s="12"/>
      <c r="I176" s="12"/>
      <c r="J176" s="12"/>
      <c r="K176" s="12"/>
    </row>
    <row r="177" spans="5:11" ht="12.75">
      <c r="E177" s="12"/>
      <c r="F177" s="12"/>
      <c r="G177" s="12"/>
      <c r="H177" s="12"/>
      <c r="I177" s="12"/>
      <c r="J177" s="12"/>
      <c r="K177" s="12"/>
    </row>
    <row r="178" spans="5:11" ht="12.75">
      <c r="E178" s="12"/>
      <c r="F178" s="12"/>
      <c r="G178" s="12"/>
      <c r="H178" s="12"/>
      <c r="I178" s="12"/>
      <c r="J178" s="12"/>
      <c r="K178" s="12"/>
    </row>
    <row r="179" spans="5:11" ht="12.75">
      <c r="E179" s="12"/>
      <c r="F179" s="12"/>
      <c r="G179" s="12"/>
      <c r="H179" s="12"/>
      <c r="I179" s="12"/>
      <c r="J179" s="12"/>
      <c r="K179" s="12"/>
    </row>
    <row r="180" spans="5:11" ht="12.75">
      <c r="E180" s="12"/>
      <c r="F180" s="12"/>
      <c r="G180" s="12"/>
      <c r="H180" s="12"/>
      <c r="I180" s="12"/>
      <c r="J180" s="12"/>
      <c r="K180" s="12"/>
    </row>
    <row r="181" spans="5:11" ht="12.75">
      <c r="E181" s="12"/>
      <c r="F181" s="12"/>
      <c r="G181" s="12"/>
      <c r="H181" s="12"/>
      <c r="I181" s="12"/>
      <c r="J181" s="12"/>
      <c r="K181" s="12"/>
    </row>
    <row r="182" spans="5:11" ht="12.75">
      <c r="E182" s="12"/>
      <c r="F182" s="12"/>
      <c r="G182" s="12"/>
      <c r="H182" s="12"/>
      <c r="I182" s="12"/>
      <c r="J182" s="12"/>
      <c r="K182" s="12"/>
    </row>
    <row r="183" spans="5:11" ht="12.75">
      <c r="E183" s="12"/>
      <c r="F183" s="12"/>
      <c r="G183" s="12"/>
      <c r="H183" s="12"/>
      <c r="I183" s="12"/>
      <c r="J183" s="12"/>
      <c r="K183" s="12"/>
    </row>
    <row r="184" spans="5:11" ht="12.75">
      <c r="E184" s="12"/>
      <c r="F184" s="12"/>
      <c r="G184" s="12"/>
      <c r="H184" s="12"/>
      <c r="I184" s="12"/>
      <c r="J184" s="12"/>
      <c r="K184" s="12"/>
    </row>
    <row r="185" spans="5:11" ht="12.75">
      <c r="E185" s="12"/>
      <c r="F185" s="12"/>
      <c r="G185" s="12"/>
      <c r="H185" s="12"/>
      <c r="I185" s="12"/>
      <c r="J185" s="12"/>
      <c r="K185" s="12"/>
    </row>
    <row r="186" spans="5:11" ht="12.75">
      <c r="E186" s="12"/>
      <c r="F186" s="12"/>
      <c r="G186" s="12"/>
      <c r="H186" s="12"/>
      <c r="I186" s="12"/>
      <c r="J186" s="12"/>
      <c r="K186" s="12"/>
    </row>
    <row r="187" spans="5:11" ht="12.75">
      <c r="E187" s="12"/>
      <c r="F187" s="12"/>
      <c r="G187" s="12"/>
      <c r="H187" s="12"/>
      <c r="I187" s="12"/>
      <c r="J187" s="12"/>
      <c r="K187" s="12"/>
    </row>
    <row r="188" spans="5:11" ht="12.75">
      <c r="E188" s="12"/>
      <c r="F188" s="12"/>
      <c r="G188" s="12"/>
      <c r="H188" s="12"/>
      <c r="I188" s="12"/>
      <c r="J188" s="12"/>
      <c r="K188" s="12"/>
    </row>
    <row r="189" spans="5:11" ht="12.75">
      <c r="E189" s="12"/>
      <c r="F189" s="12"/>
      <c r="G189" s="12"/>
      <c r="H189" s="12"/>
      <c r="I189" s="12"/>
      <c r="J189" s="12"/>
      <c r="K189" s="12"/>
    </row>
    <row r="190" spans="5:11" ht="12.75">
      <c r="E190" s="12"/>
      <c r="F190" s="12"/>
      <c r="G190" s="12"/>
      <c r="H190" s="12"/>
      <c r="I190" s="12"/>
      <c r="J190" s="12"/>
      <c r="K190" s="12"/>
    </row>
    <row r="191" spans="5:11" ht="12.75">
      <c r="E191" s="12"/>
      <c r="F191" s="12"/>
      <c r="G191" s="12"/>
      <c r="H191" s="12"/>
      <c r="I191" s="12"/>
      <c r="J191" s="12"/>
      <c r="K191" s="12"/>
    </row>
    <row r="192" spans="5:11" ht="12.75">
      <c r="E192" s="12"/>
      <c r="F192" s="12"/>
      <c r="G192" s="12"/>
      <c r="H192" s="12"/>
      <c r="I192" s="12"/>
      <c r="J192" s="12"/>
      <c r="K192" s="12"/>
    </row>
    <row r="193" spans="5:11" ht="12.75">
      <c r="E193" s="12"/>
      <c r="F193" s="12"/>
      <c r="G193" s="12"/>
      <c r="H193" s="12"/>
      <c r="I193" s="12"/>
      <c r="J193" s="12"/>
      <c r="K193" s="12"/>
    </row>
    <row r="194" spans="5:11" ht="12.75">
      <c r="E194" s="12"/>
      <c r="F194" s="12"/>
      <c r="G194" s="12"/>
      <c r="H194" s="12"/>
      <c r="I194" s="12"/>
      <c r="J194" s="12"/>
      <c r="K194" s="12"/>
    </row>
    <row r="195" spans="5:11" ht="12.75">
      <c r="E195" s="12"/>
      <c r="F195" s="12"/>
      <c r="G195" s="12"/>
      <c r="H195" s="12"/>
      <c r="I195" s="12"/>
      <c r="J195" s="12"/>
      <c r="K195" s="12"/>
    </row>
    <row r="196" spans="5:11" ht="12.75">
      <c r="E196" s="12"/>
      <c r="F196" s="12"/>
      <c r="G196" s="12"/>
      <c r="H196" s="12"/>
      <c r="I196" s="12"/>
      <c r="J196" s="12"/>
      <c r="K196" s="12"/>
    </row>
    <row r="197" spans="5:11" ht="12.75">
      <c r="E197" s="12"/>
      <c r="F197" s="12"/>
      <c r="G197" s="12"/>
      <c r="H197" s="12"/>
      <c r="I197" s="12"/>
      <c r="J197" s="12"/>
      <c r="K197" s="12"/>
    </row>
    <row r="198" spans="5:11" ht="12.75">
      <c r="E198" s="12"/>
      <c r="F198" s="12"/>
      <c r="G198" s="12"/>
      <c r="H198" s="12"/>
      <c r="I198" s="12"/>
      <c r="J198" s="12"/>
      <c r="K198" s="12"/>
    </row>
    <row r="199" spans="5:11" ht="12.75">
      <c r="E199" s="12"/>
      <c r="F199" s="12"/>
      <c r="G199" s="12"/>
      <c r="H199" s="12"/>
      <c r="I199" s="12"/>
      <c r="J199" s="12"/>
      <c r="K199" s="12"/>
    </row>
    <row r="200" spans="5:11" ht="12.75">
      <c r="E200" s="12"/>
      <c r="F200" s="12"/>
      <c r="G200" s="12"/>
      <c r="H200" s="12"/>
      <c r="I200" s="12"/>
      <c r="J200" s="12"/>
      <c r="K200" s="12"/>
    </row>
    <row r="201" spans="5:11" ht="12.75">
      <c r="E201" s="12"/>
      <c r="F201" s="12"/>
      <c r="G201" s="12"/>
      <c r="H201" s="12"/>
      <c r="I201" s="12"/>
      <c r="J201" s="12"/>
      <c r="K201" s="12"/>
    </row>
    <row r="202" spans="5:11" ht="12.75">
      <c r="E202" s="12"/>
      <c r="F202" s="12"/>
      <c r="G202" s="12"/>
      <c r="H202" s="12"/>
      <c r="I202" s="12"/>
      <c r="J202" s="12"/>
      <c r="K202" s="12"/>
    </row>
    <row r="203" spans="5:11" ht="12.75">
      <c r="E203" s="12"/>
      <c r="F203" s="12"/>
      <c r="G203" s="12"/>
      <c r="H203" s="12"/>
      <c r="I203" s="12"/>
      <c r="J203" s="12"/>
      <c r="K203" s="12"/>
    </row>
    <row r="204" spans="5:11" ht="12.75">
      <c r="E204" s="12"/>
      <c r="F204" s="12"/>
      <c r="G204" s="12"/>
      <c r="H204" s="12"/>
      <c r="I204" s="12"/>
      <c r="J204" s="12"/>
      <c r="K204" s="12"/>
    </row>
    <row r="205" spans="5:11" ht="12.75">
      <c r="E205" s="12"/>
      <c r="F205" s="12"/>
      <c r="G205" s="12"/>
      <c r="H205" s="12"/>
      <c r="I205" s="12"/>
      <c r="J205" s="12"/>
      <c r="K205" s="12"/>
    </row>
    <row r="206" spans="5:11" ht="12.75">
      <c r="E206" s="12"/>
      <c r="F206" s="12"/>
      <c r="G206" s="12"/>
      <c r="H206" s="12"/>
      <c r="I206" s="12"/>
      <c r="J206" s="12"/>
      <c r="K206" s="12"/>
    </row>
    <row r="207" spans="5:11" ht="12.75">
      <c r="E207" s="12"/>
      <c r="F207" s="12"/>
      <c r="G207" s="12"/>
      <c r="H207" s="12"/>
      <c r="I207" s="12"/>
      <c r="J207" s="12"/>
      <c r="K207" s="12"/>
    </row>
    <row r="208" spans="5:11" ht="12.75">
      <c r="E208" s="12"/>
      <c r="F208" s="12"/>
      <c r="G208" s="12"/>
      <c r="H208" s="12"/>
      <c r="I208" s="12"/>
      <c r="J208" s="12"/>
      <c r="K208" s="12"/>
    </row>
    <row r="209" spans="5:11" ht="12.75">
      <c r="E209" s="12"/>
      <c r="F209" s="12"/>
      <c r="G209" s="12"/>
      <c r="H209" s="12"/>
      <c r="I209" s="12"/>
      <c r="J209" s="12"/>
      <c r="K209" s="12"/>
    </row>
    <row r="210" spans="5:11" ht="12.75">
      <c r="E210" s="12"/>
      <c r="F210" s="12"/>
      <c r="G210" s="12"/>
      <c r="H210" s="12"/>
      <c r="I210" s="12"/>
      <c r="J210" s="12"/>
      <c r="K210" s="12"/>
    </row>
    <row r="211" spans="5:11" ht="12.75">
      <c r="E211" s="12"/>
      <c r="F211" s="12"/>
      <c r="G211" s="12"/>
      <c r="H211" s="12"/>
      <c r="I211" s="12"/>
      <c r="J211" s="12"/>
      <c r="K211" s="12"/>
    </row>
    <row r="212" spans="5:11" ht="12.75">
      <c r="E212" s="12"/>
      <c r="F212" s="12"/>
      <c r="G212" s="12"/>
      <c r="H212" s="12"/>
      <c r="I212" s="12"/>
      <c r="J212" s="12"/>
      <c r="K212" s="12"/>
    </row>
    <row r="213" spans="5:11" ht="12.75">
      <c r="E213" s="12"/>
      <c r="F213" s="12"/>
      <c r="G213" s="12"/>
      <c r="H213" s="12"/>
      <c r="I213" s="12"/>
      <c r="J213" s="12"/>
      <c r="K213" s="12"/>
    </row>
    <row r="214" spans="5:11" ht="12.75">
      <c r="E214" s="12"/>
      <c r="F214" s="12"/>
      <c r="G214" s="12"/>
      <c r="H214" s="12"/>
      <c r="I214" s="12"/>
      <c r="J214" s="12"/>
      <c r="K214" s="12"/>
    </row>
    <row r="215" spans="5:11" ht="12.75">
      <c r="E215" s="12"/>
      <c r="F215" s="12"/>
      <c r="G215" s="12"/>
      <c r="H215" s="12"/>
      <c r="I215" s="12"/>
      <c r="J215" s="12"/>
      <c r="K215" s="12"/>
    </row>
    <row r="216" spans="5:11" ht="12.75">
      <c r="E216" s="12"/>
      <c r="F216" s="12"/>
      <c r="G216" s="12"/>
      <c r="H216" s="12"/>
      <c r="I216" s="12"/>
      <c r="J216" s="12"/>
      <c r="K216" s="12"/>
    </row>
    <row r="217" spans="5:11" ht="12.75">
      <c r="E217" s="12"/>
      <c r="F217" s="12"/>
      <c r="G217" s="12"/>
      <c r="H217" s="12"/>
      <c r="I217" s="12"/>
      <c r="J217" s="12"/>
      <c r="K217" s="12"/>
    </row>
    <row r="218" spans="5:11" ht="12.75">
      <c r="E218" s="12"/>
      <c r="F218" s="12"/>
      <c r="G218" s="12"/>
      <c r="H218" s="12"/>
      <c r="I218" s="12"/>
      <c r="J218" s="12"/>
      <c r="K218" s="12"/>
    </row>
    <row r="219" spans="5:11" ht="12.75">
      <c r="E219" s="12"/>
      <c r="F219" s="12"/>
      <c r="G219" s="12"/>
      <c r="H219" s="12"/>
      <c r="I219" s="12"/>
      <c r="J219" s="12"/>
      <c r="K219" s="12"/>
    </row>
    <row r="220" spans="5:11" ht="12.75">
      <c r="E220" s="12"/>
      <c r="F220" s="12"/>
      <c r="G220" s="12"/>
      <c r="H220" s="12"/>
      <c r="I220" s="12"/>
      <c r="J220" s="12"/>
      <c r="K220" s="12"/>
    </row>
    <row r="221" spans="5:11" ht="12.75">
      <c r="E221" s="12"/>
      <c r="F221" s="12"/>
      <c r="G221" s="12"/>
      <c r="H221" s="12"/>
      <c r="I221" s="12"/>
      <c r="J221" s="12"/>
      <c r="K221" s="12"/>
    </row>
    <row r="222" spans="5:11" ht="12.75">
      <c r="E222" s="12"/>
      <c r="F222" s="12"/>
      <c r="G222" s="12"/>
      <c r="H222" s="12"/>
      <c r="I222" s="12"/>
      <c r="J222" s="12"/>
      <c r="K222" s="12"/>
    </row>
    <row r="223" spans="5:11" ht="12.75">
      <c r="E223" s="12"/>
      <c r="F223" s="12"/>
      <c r="G223" s="12"/>
      <c r="H223" s="12"/>
      <c r="I223" s="12"/>
      <c r="J223" s="12"/>
      <c r="K223" s="12"/>
    </row>
    <row r="224" spans="5:11" ht="12.75">
      <c r="E224" s="12"/>
      <c r="F224" s="12"/>
      <c r="G224" s="12"/>
      <c r="H224" s="12"/>
      <c r="I224" s="12"/>
      <c r="J224" s="12"/>
      <c r="K224" s="12"/>
    </row>
    <row r="225" spans="5:11" ht="12.75">
      <c r="E225" s="12"/>
      <c r="F225" s="12"/>
      <c r="G225" s="12"/>
      <c r="H225" s="12"/>
      <c r="I225" s="12"/>
      <c r="J225" s="12"/>
      <c r="K225" s="12"/>
    </row>
    <row r="226" spans="5:11" ht="12.75">
      <c r="E226" s="12"/>
      <c r="F226" s="12"/>
      <c r="G226" s="12"/>
      <c r="H226" s="12"/>
      <c r="I226" s="12"/>
      <c r="J226" s="12"/>
      <c r="K226" s="12"/>
    </row>
    <row r="227" spans="5:11" ht="12.75">
      <c r="E227" s="12"/>
      <c r="F227" s="12"/>
      <c r="G227" s="12"/>
      <c r="H227" s="12"/>
      <c r="I227" s="12"/>
      <c r="J227" s="12"/>
      <c r="K227" s="12"/>
    </row>
    <row r="228" spans="5:11" ht="12.75">
      <c r="E228" s="12"/>
      <c r="F228" s="12"/>
      <c r="G228" s="12"/>
      <c r="H228" s="12"/>
      <c r="I228" s="12"/>
      <c r="J228" s="12"/>
      <c r="K228" s="12"/>
    </row>
    <row r="229" spans="5:11" ht="12.75">
      <c r="E229" s="12"/>
      <c r="F229" s="12"/>
      <c r="G229" s="12"/>
      <c r="H229" s="12"/>
      <c r="I229" s="12"/>
      <c r="J229" s="12"/>
      <c r="K229" s="12"/>
    </row>
    <row r="230" spans="5:11" ht="12.75">
      <c r="E230" s="12"/>
      <c r="F230" s="12"/>
      <c r="G230" s="12"/>
      <c r="H230" s="12"/>
      <c r="I230" s="12"/>
      <c r="J230" s="12"/>
      <c r="K230" s="12"/>
    </row>
    <row r="231" spans="5:11" ht="12.75">
      <c r="E231" s="12"/>
      <c r="F231" s="12"/>
      <c r="G231" s="12"/>
      <c r="H231" s="12"/>
      <c r="I231" s="12"/>
      <c r="J231" s="12"/>
      <c r="K231" s="12"/>
    </row>
    <row r="232" spans="5:11" ht="12.75">
      <c r="E232" s="12"/>
      <c r="F232" s="12"/>
      <c r="G232" s="12"/>
      <c r="H232" s="12"/>
      <c r="I232" s="12"/>
      <c r="J232" s="12"/>
      <c r="K232" s="12"/>
    </row>
    <row r="233" spans="5:11" ht="12.75">
      <c r="E233" s="12"/>
      <c r="F233" s="12"/>
      <c r="G233" s="12"/>
      <c r="H233" s="12"/>
      <c r="I233" s="12"/>
      <c r="J233" s="12"/>
      <c r="K233" s="12"/>
    </row>
    <row r="234" spans="5:11" ht="12.75">
      <c r="E234" s="12"/>
      <c r="F234" s="12"/>
      <c r="G234" s="12"/>
      <c r="H234" s="12"/>
      <c r="I234" s="12"/>
      <c r="J234" s="12"/>
      <c r="K234" s="12"/>
    </row>
    <row r="235" spans="5:11" ht="12.75">
      <c r="E235" s="12"/>
      <c r="F235" s="12"/>
      <c r="G235" s="12"/>
      <c r="H235" s="12"/>
      <c r="I235" s="12"/>
      <c r="J235" s="12"/>
      <c r="K235" s="12"/>
    </row>
    <row r="236" spans="5:11" ht="12.75">
      <c r="E236" s="12"/>
      <c r="F236" s="12"/>
      <c r="G236" s="12"/>
      <c r="H236" s="12"/>
      <c r="I236" s="12"/>
      <c r="J236" s="12"/>
      <c r="K236" s="12"/>
    </row>
    <row r="237" spans="5:11" ht="12.75">
      <c r="E237" s="12"/>
      <c r="F237" s="12"/>
      <c r="G237" s="12"/>
      <c r="H237" s="12"/>
      <c r="I237" s="12"/>
      <c r="J237" s="12"/>
      <c r="K237" s="12"/>
    </row>
    <row r="238" spans="5:11" ht="12.75">
      <c r="E238" s="12"/>
      <c r="F238" s="12"/>
      <c r="G238" s="12"/>
      <c r="H238" s="12"/>
      <c r="I238" s="12"/>
      <c r="J238" s="12"/>
      <c r="K238" s="12"/>
    </row>
    <row r="239" spans="5:11" ht="12.75">
      <c r="E239" s="12"/>
      <c r="F239" s="12"/>
      <c r="G239" s="12"/>
      <c r="H239" s="12"/>
      <c r="I239" s="12"/>
      <c r="J239" s="12"/>
      <c r="K239" s="12"/>
    </row>
    <row r="240" spans="5:11" ht="12.75">
      <c r="E240" s="12"/>
      <c r="F240" s="12"/>
      <c r="G240" s="12"/>
      <c r="H240" s="12"/>
      <c r="I240" s="12"/>
      <c r="J240" s="12"/>
      <c r="K240" s="12"/>
    </row>
    <row r="241" spans="5:11" ht="12.75">
      <c r="E241" s="12"/>
      <c r="F241" s="12"/>
      <c r="G241" s="12"/>
      <c r="H241" s="12"/>
      <c r="I241" s="12"/>
      <c r="J241" s="12"/>
      <c r="K241" s="12"/>
    </row>
    <row r="242" spans="5:11" ht="12.75">
      <c r="E242" s="12"/>
      <c r="F242" s="12"/>
      <c r="G242" s="12"/>
      <c r="H242" s="12"/>
      <c r="I242" s="12"/>
      <c r="J242" s="12"/>
      <c r="K242" s="12"/>
    </row>
    <row r="243" spans="5:11" ht="12.75">
      <c r="E243" s="12"/>
      <c r="F243" s="12"/>
      <c r="G243" s="12"/>
      <c r="H243" s="12"/>
      <c r="I243" s="12"/>
      <c r="J243" s="12"/>
      <c r="K243" s="12"/>
    </row>
    <row r="244" spans="5:11" ht="12.75">
      <c r="E244" s="12"/>
      <c r="F244" s="12"/>
      <c r="G244" s="12"/>
      <c r="H244" s="12"/>
      <c r="I244" s="12"/>
      <c r="J244" s="12"/>
      <c r="K244" s="12"/>
    </row>
    <row r="245" spans="5:11" ht="12.75">
      <c r="E245" s="12"/>
      <c r="F245" s="12"/>
      <c r="G245" s="12"/>
      <c r="H245" s="12"/>
      <c r="I245" s="12"/>
      <c r="J245" s="12"/>
      <c r="K245" s="12"/>
    </row>
    <row r="246" spans="5:11" ht="12.75">
      <c r="E246" s="12"/>
      <c r="F246" s="12"/>
      <c r="G246" s="12"/>
      <c r="H246" s="12"/>
      <c r="I246" s="12"/>
      <c r="J246" s="12"/>
      <c r="K246" s="12"/>
    </row>
    <row r="247" spans="5:11" ht="12.75">
      <c r="E247" s="12"/>
      <c r="F247" s="12"/>
      <c r="G247" s="12"/>
      <c r="H247" s="12"/>
      <c r="I247" s="12"/>
      <c r="J247" s="12"/>
      <c r="K247" s="12"/>
    </row>
    <row r="248" spans="5:11" ht="12.75">
      <c r="E248" s="12"/>
      <c r="F248" s="12"/>
      <c r="G248" s="12"/>
      <c r="H248" s="12"/>
      <c r="I248" s="12"/>
      <c r="J248" s="12"/>
      <c r="K248" s="12"/>
    </row>
    <row r="249" spans="5:11" ht="12.75">
      <c r="E249" s="12"/>
      <c r="F249" s="12"/>
      <c r="G249" s="12"/>
      <c r="H249" s="12"/>
      <c r="I249" s="12"/>
      <c r="J249" s="12"/>
      <c r="K249" s="12"/>
    </row>
    <row r="250" spans="5:11" ht="12.75">
      <c r="E250" s="12"/>
      <c r="F250" s="12"/>
      <c r="G250" s="12"/>
      <c r="H250" s="12"/>
      <c r="I250" s="12"/>
      <c r="J250" s="12"/>
      <c r="K250" s="12"/>
    </row>
    <row r="251" spans="5:11" ht="12.75">
      <c r="E251" s="12"/>
      <c r="F251" s="12"/>
      <c r="G251" s="12"/>
      <c r="H251" s="12"/>
      <c r="I251" s="12"/>
      <c r="J251" s="12"/>
      <c r="K251" s="12"/>
    </row>
    <row r="252" spans="5:11" ht="12.75">
      <c r="E252" s="12"/>
      <c r="F252" s="12"/>
      <c r="G252" s="12"/>
      <c r="H252" s="12"/>
      <c r="I252" s="12"/>
      <c r="J252" s="12"/>
      <c r="K252" s="12"/>
    </row>
    <row r="253" spans="5:11" ht="12.75">
      <c r="E253" s="12"/>
      <c r="F253" s="12"/>
      <c r="G253" s="12"/>
      <c r="H253" s="12"/>
      <c r="I253" s="12"/>
      <c r="J253" s="12"/>
      <c r="K253" s="12"/>
    </row>
    <row r="254" spans="5:11" ht="12.75">
      <c r="E254" s="12"/>
      <c r="F254" s="12"/>
      <c r="G254" s="12"/>
      <c r="H254" s="12"/>
      <c r="I254" s="12"/>
      <c r="J254" s="12"/>
      <c r="K254" s="12"/>
    </row>
    <row r="255" spans="5:11" ht="12.75">
      <c r="E255" s="12"/>
      <c r="F255" s="12"/>
      <c r="G255" s="12"/>
      <c r="H255" s="12"/>
      <c r="I255" s="12"/>
      <c r="J255" s="12"/>
      <c r="K255" s="12"/>
    </row>
    <row r="256" spans="5:11" ht="12.75">
      <c r="E256" s="12"/>
      <c r="F256" s="12"/>
      <c r="G256" s="12"/>
      <c r="H256" s="12"/>
      <c r="I256" s="12"/>
      <c r="J256" s="12"/>
      <c r="K256" s="12"/>
    </row>
    <row r="257" spans="5:11" ht="12.75">
      <c r="E257" s="12"/>
      <c r="F257" s="12"/>
      <c r="G257" s="12"/>
      <c r="H257" s="12"/>
      <c r="I257" s="12"/>
      <c r="J257" s="12"/>
      <c r="K257" s="12"/>
    </row>
    <row r="258" spans="5:11" ht="12.75">
      <c r="E258" s="12"/>
      <c r="F258" s="12"/>
      <c r="G258" s="12"/>
      <c r="H258" s="12"/>
      <c r="I258" s="12"/>
      <c r="J258" s="12"/>
      <c r="K258" s="12"/>
    </row>
    <row r="259" spans="5:11" ht="12.75">
      <c r="E259" s="12"/>
      <c r="F259" s="12"/>
      <c r="G259" s="12"/>
      <c r="H259" s="12"/>
      <c r="I259" s="12"/>
      <c r="J259" s="12"/>
      <c r="K259" s="12"/>
    </row>
    <row r="260" spans="5:11" ht="12.75">
      <c r="E260" s="12"/>
      <c r="F260" s="12"/>
      <c r="G260" s="12"/>
      <c r="H260" s="12"/>
      <c r="I260" s="12"/>
      <c r="J260" s="12"/>
      <c r="K260" s="12"/>
    </row>
    <row r="261" spans="5:11" ht="12.75">
      <c r="E261" s="12"/>
      <c r="F261" s="12"/>
      <c r="G261" s="12"/>
      <c r="H261" s="12"/>
      <c r="I261" s="12"/>
      <c r="J261" s="12"/>
      <c r="K261" s="12"/>
    </row>
    <row r="262" spans="5:11" ht="12.75">
      <c r="E262" s="12"/>
      <c r="F262" s="12"/>
      <c r="G262" s="12"/>
      <c r="H262" s="12"/>
      <c r="I262" s="12"/>
      <c r="J262" s="12"/>
      <c r="K262" s="12"/>
    </row>
    <row r="263" spans="5:11" ht="12.75">
      <c r="E263" s="12"/>
      <c r="F263" s="12"/>
      <c r="G263" s="12"/>
      <c r="H263" s="12"/>
      <c r="I263" s="12"/>
      <c r="J263" s="12"/>
      <c r="K263" s="12"/>
    </row>
    <row r="264" spans="5:11" ht="12.75">
      <c r="E264" s="12"/>
      <c r="F264" s="12"/>
      <c r="G264" s="12"/>
      <c r="H264" s="12"/>
      <c r="I264" s="12"/>
      <c r="J264" s="12"/>
      <c r="K264" s="12"/>
    </row>
    <row r="265" spans="5:11" ht="12.75">
      <c r="E265" s="12"/>
      <c r="F265" s="12"/>
      <c r="G265" s="12"/>
      <c r="H265" s="12"/>
      <c r="I265" s="12"/>
      <c r="J265" s="12"/>
      <c r="K265" s="12"/>
    </row>
    <row r="266" spans="5:11" ht="12.75">
      <c r="E266" s="12"/>
      <c r="F266" s="12"/>
      <c r="G266" s="12"/>
      <c r="H266" s="12"/>
      <c r="I266" s="12"/>
      <c r="J266" s="12"/>
      <c r="K266" s="12"/>
    </row>
    <row r="267" spans="5:11" ht="12.75">
      <c r="E267" s="12"/>
      <c r="F267" s="12"/>
      <c r="G267" s="12"/>
      <c r="H267" s="12"/>
      <c r="I267" s="12"/>
      <c r="J267" s="12"/>
      <c r="K267" s="12"/>
    </row>
    <row r="268" spans="5:11" ht="12.75">
      <c r="E268" s="12"/>
      <c r="F268" s="12"/>
      <c r="G268" s="12"/>
      <c r="H268" s="12"/>
      <c r="I268" s="12"/>
      <c r="J268" s="12"/>
      <c r="K268" s="12"/>
    </row>
    <row r="269" spans="5:11" ht="12.75">
      <c r="E269" s="12"/>
      <c r="F269" s="12"/>
      <c r="G269" s="12"/>
      <c r="H269" s="12"/>
      <c r="I269" s="12"/>
      <c r="J269" s="12"/>
      <c r="K269" s="12"/>
    </row>
    <row r="270" spans="5:11" ht="12.75">
      <c r="E270" s="12"/>
      <c r="F270" s="12"/>
      <c r="G270" s="12"/>
      <c r="H270" s="12"/>
      <c r="I270" s="12"/>
      <c r="J270" s="12"/>
      <c r="K270" s="12"/>
    </row>
    <row r="271" spans="5:11" ht="12.75">
      <c r="E271" s="12"/>
      <c r="F271" s="12"/>
      <c r="G271" s="12"/>
      <c r="H271" s="12"/>
      <c r="I271" s="12"/>
      <c r="J271" s="12"/>
      <c r="K271" s="12"/>
    </row>
    <row r="272" spans="5:11" ht="12.75">
      <c r="E272" s="12"/>
      <c r="F272" s="12"/>
      <c r="G272" s="12"/>
      <c r="H272" s="12"/>
      <c r="I272" s="12"/>
      <c r="J272" s="12"/>
      <c r="K272" s="12"/>
    </row>
    <row r="273" spans="5:11" ht="12.75">
      <c r="E273" s="12"/>
      <c r="F273" s="12"/>
      <c r="G273" s="12"/>
      <c r="H273" s="12"/>
      <c r="I273" s="12"/>
      <c r="J273" s="12"/>
      <c r="K273" s="12"/>
    </row>
    <row r="274" spans="5:11" ht="12.75">
      <c r="E274" s="12"/>
      <c r="F274" s="12"/>
      <c r="G274" s="12"/>
      <c r="H274" s="12"/>
      <c r="I274" s="12"/>
      <c r="J274" s="12"/>
      <c r="K274" s="12"/>
    </row>
    <row r="275" spans="5:11" ht="12.75">
      <c r="E275" s="12"/>
      <c r="F275" s="12"/>
      <c r="G275" s="12"/>
      <c r="H275" s="12"/>
      <c r="I275" s="12"/>
      <c r="J275" s="12"/>
      <c r="K275" s="12"/>
    </row>
    <row r="276" spans="5:11" ht="12.75">
      <c r="E276" s="12"/>
      <c r="F276" s="12"/>
      <c r="G276" s="12"/>
      <c r="H276" s="12"/>
      <c r="I276" s="12"/>
      <c r="J276" s="12"/>
      <c r="K276" s="12"/>
    </row>
    <row r="277" spans="5:11" ht="12.75">
      <c r="E277" s="12"/>
      <c r="F277" s="12"/>
      <c r="G277" s="12"/>
      <c r="H277" s="12"/>
      <c r="I277" s="12"/>
      <c r="J277" s="12"/>
      <c r="K277" s="12"/>
    </row>
    <row r="278" spans="5:11" ht="12.75">
      <c r="E278" s="12"/>
      <c r="F278" s="12"/>
      <c r="G278" s="12"/>
      <c r="H278" s="12"/>
      <c r="I278" s="12"/>
      <c r="J278" s="12"/>
      <c r="K278" s="12"/>
    </row>
    <row r="279" spans="5:11" ht="12.75">
      <c r="E279" s="12"/>
      <c r="F279" s="12"/>
      <c r="G279" s="12"/>
      <c r="H279" s="12"/>
      <c r="I279" s="12"/>
      <c r="J279" s="12"/>
      <c r="K279" s="12"/>
    </row>
    <row r="280" spans="5:11" ht="12.75">
      <c r="E280" s="12"/>
      <c r="F280" s="12"/>
      <c r="G280" s="12"/>
      <c r="H280" s="12"/>
      <c r="I280" s="12"/>
      <c r="J280" s="12"/>
      <c r="K280" s="12"/>
    </row>
    <row r="281" spans="5:11" ht="12.75">
      <c r="E281" s="12"/>
      <c r="F281" s="12"/>
      <c r="G281" s="12"/>
      <c r="H281" s="12"/>
      <c r="I281" s="12"/>
      <c r="J281" s="12"/>
      <c r="K281" s="12"/>
    </row>
    <row r="282" spans="5:11" ht="12.75">
      <c r="E282" s="12"/>
      <c r="F282" s="12"/>
      <c r="G282" s="12"/>
      <c r="H282" s="12"/>
      <c r="I282" s="12"/>
      <c r="J282" s="12"/>
      <c r="K282" s="12"/>
    </row>
    <row r="283" spans="5:11" ht="12.75">
      <c r="E283" s="12"/>
      <c r="F283" s="12"/>
      <c r="G283" s="12"/>
      <c r="H283" s="12"/>
      <c r="I283" s="12"/>
      <c r="J283" s="12"/>
      <c r="K283" s="12"/>
    </row>
    <row r="284" spans="5:11" ht="12.75">
      <c r="E284" s="12"/>
      <c r="F284" s="12"/>
      <c r="G284" s="12"/>
      <c r="H284" s="12"/>
      <c r="I284" s="12"/>
      <c r="J284" s="12"/>
      <c r="K284" s="12"/>
    </row>
    <row r="285" spans="5:11" ht="12.75">
      <c r="E285" s="12"/>
      <c r="F285" s="12"/>
      <c r="G285" s="12"/>
      <c r="H285" s="12"/>
      <c r="I285" s="12"/>
      <c r="J285" s="12"/>
      <c r="K285" s="12"/>
    </row>
    <row r="286" spans="5:11" ht="12.75">
      <c r="E286" s="12"/>
      <c r="F286" s="12"/>
      <c r="G286" s="12"/>
      <c r="H286" s="12"/>
      <c r="I286" s="12"/>
      <c r="J286" s="12"/>
      <c r="K286" s="12"/>
    </row>
    <row r="287" spans="5:11" ht="12.75">
      <c r="E287" s="12"/>
      <c r="F287" s="12"/>
      <c r="G287" s="12"/>
      <c r="H287" s="12"/>
      <c r="I287" s="12"/>
      <c r="J287" s="12"/>
      <c r="K287" s="12"/>
    </row>
    <row r="288" spans="5:11" ht="12.75">
      <c r="E288" s="12"/>
      <c r="F288" s="12"/>
      <c r="G288" s="12"/>
      <c r="H288" s="12"/>
      <c r="I288" s="12"/>
      <c r="J288" s="12"/>
      <c r="K288" s="12"/>
    </row>
    <row r="289" spans="5:11" ht="12.75">
      <c r="E289" s="12"/>
      <c r="F289" s="12"/>
      <c r="G289" s="12"/>
      <c r="H289" s="12"/>
      <c r="I289" s="12"/>
      <c r="J289" s="12"/>
      <c r="K289" s="12"/>
    </row>
    <row r="290" spans="5:11" ht="12.75">
      <c r="E290" s="12"/>
      <c r="F290" s="12"/>
      <c r="G290" s="12"/>
      <c r="H290" s="12"/>
      <c r="I290" s="12"/>
      <c r="J290" s="12"/>
      <c r="K290" s="12"/>
    </row>
    <row r="291" spans="5:11" ht="12.75">
      <c r="E291" s="12"/>
      <c r="F291" s="12"/>
      <c r="G291" s="12"/>
      <c r="H291" s="12"/>
      <c r="I291" s="12"/>
      <c r="J291" s="12"/>
      <c r="K291" s="12"/>
    </row>
    <row r="292" spans="5:11" ht="12.75">
      <c r="E292" s="12"/>
      <c r="F292" s="12"/>
      <c r="G292" s="12"/>
      <c r="H292" s="12"/>
      <c r="I292" s="12"/>
      <c r="J292" s="12"/>
      <c r="K292" s="12"/>
    </row>
    <row r="293" spans="5:11" ht="12.75">
      <c r="E293" s="12"/>
      <c r="F293" s="12"/>
      <c r="G293" s="12"/>
      <c r="H293" s="12"/>
      <c r="I293" s="12"/>
      <c r="J293" s="12"/>
      <c r="K293" s="12"/>
    </row>
    <row r="294" spans="5:11" ht="12.75">
      <c r="E294" s="12"/>
      <c r="F294" s="12"/>
      <c r="G294" s="12"/>
      <c r="H294" s="12"/>
      <c r="I294" s="12"/>
      <c r="J294" s="12"/>
      <c r="K294" s="12"/>
    </row>
    <row r="295" spans="5:11" ht="12.75">
      <c r="E295" s="12"/>
      <c r="F295" s="12"/>
      <c r="G295" s="12"/>
      <c r="H295" s="12"/>
      <c r="I295" s="12"/>
      <c r="J295" s="12"/>
      <c r="K295" s="12"/>
    </row>
    <row r="296" spans="5:11" ht="12.75">
      <c r="E296" s="12"/>
      <c r="F296" s="12"/>
      <c r="G296" s="12"/>
      <c r="H296" s="12"/>
      <c r="I296" s="12"/>
      <c r="J296" s="12"/>
      <c r="K296" s="12"/>
    </row>
    <row r="297" spans="5:11" ht="12.75">
      <c r="E297" s="12"/>
      <c r="F297" s="12"/>
      <c r="G297" s="12"/>
      <c r="H297" s="12"/>
      <c r="I297" s="12"/>
      <c r="J297" s="12"/>
      <c r="K297" s="12"/>
    </row>
    <row r="298" spans="5:11" ht="12.75">
      <c r="E298" s="12"/>
      <c r="F298" s="12"/>
      <c r="G298" s="12"/>
      <c r="H298" s="12"/>
      <c r="I298" s="12"/>
      <c r="J298" s="12"/>
      <c r="K298" s="12"/>
    </row>
    <row r="299" spans="5:11" ht="12.75">
      <c r="E299" s="12"/>
      <c r="F299" s="12"/>
      <c r="G299" s="12"/>
      <c r="H299" s="12"/>
      <c r="I299" s="12"/>
      <c r="J299" s="12"/>
      <c r="K299" s="12"/>
    </row>
    <row r="300" spans="5:11" ht="12.75">
      <c r="E300" s="12"/>
      <c r="F300" s="12"/>
      <c r="G300" s="12"/>
      <c r="H300" s="12"/>
      <c r="I300" s="12"/>
      <c r="J300" s="12"/>
      <c r="K300" s="12"/>
    </row>
    <row r="301" spans="5:11" ht="12.75">
      <c r="E301" s="12"/>
      <c r="F301" s="12"/>
      <c r="G301" s="12"/>
      <c r="H301" s="12"/>
      <c r="I301" s="12"/>
      <c r="J301" s="12"/>
      <c r="K301" s="12"/>
    </row>
    <row r="302" spans="5:11" ht="12.75">
      <c r="E302" s="12"/>
      <c r="F302" s="12"/>
      <c r="G302" s="12"/>
      <c r="H302" s="12"/>
      <c r="I302" s="12"/>
      <c r="J302" s="12"/>
      <c r="K302" s="12"/>
    </row>
  </sheetData>
  <sheetProtection password="CAE4" sheet="1"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Devans</cp:lastModifiedBy>
  <cp:lastPrinted>2010-01-28T04:18:28Z</cp:lastPrinted>
  <dcterms:created xsi:type="dcterms:W3CDTF">2007-08-07T04:48:46Z</dcterms:created>
  <dcterms:modified xsi:type="dcterms:W3CDTF">2010-02-11T04:54:44Z</dcterms:modified>
  <cp:category/>
  <cp:version/>
  <cp:contentType/>
  <cp:contentStatus/>
</cp:coreProperties>
</file>